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.katiniene\Documents\1 strateginis planavimas SVP\investiciniai\2026\"/>
    </mc:Choice>
  </mc:AlternateContent>
  <xr:revisionPtr revIDLastSave="0" documentId="13_ncr:1_{7486C716-26B5-4391-BD7A-2BD16FB9029D}" xr6:coauthVersionLast="47" xr6:coauthVersionMax="47" xr10:uidLastSave="{00000000-0000-0000-0000-000000000000}"/>
  <bookViews>
    <workbookView xWindow="1116" yWindow="1116" windowWidth="17280" windowHeight="8880" tabRatio="599" xr2:uid="{00000000-000D-0000-FFFF-FFFF00000000}"/>
  </bookViews>
  <sheets>
    <sheet name="VMIP2026 1 pr." sheetId="12" r:id="rId1"/>
    <sheet name="2 pr." sheetId="13" r:id="rId2"/>
  </sheets>
  <definedNames>
    <definedName name="_xlnm.Print_Area" localSheetId="0">'VMIP2026 1 pr.'!$A$2:$S$140</definedName>
    <definedName name="_xlnm.Print_Titles" localSheetId="1">'2 pr.'!$9:$10</definedName>
    <definedName name="_xlnm.Print_Titles" localSheetId="0">'VMIP2026 1 pr.'!$9:$11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3" l="1"/>
  <c r="G55" i="12"/>
  <c r="H55" i="12"/>
  <c r="J55" i="12"/>
  <c r="I50" i="12"/>
  <c r="I54" i="12"/>
  <c r="I53" i="12"/>
  <c r="I52" i="12"/>
  <c r="I15" i="12"/>
  <c r="I119" i="12" l="1"/>
  <c r="I115" i="12"/>
  <c r="I116" i="12"/>
  <c r="I117" i="12"/>
  <c r="I118" i="12"/>
  <c r="I120" i="12"/>
  <c r="I121" i="12"/>
  <c r="I122" i="12"/>
  <c r="I123" i="12"/>
  <c r="I124" i="12"/>
  <c r="I125" i="12"/>
  <c r="I126" i="12"/>
  <c r="I127" i="12"/>
  <c r="I128" i="12"/>
  <c r="I129" i="12"/>
  <c r="I130" i="12"/>
  <c r="J96" i="12"/>
  <c r="J89" i="12"/>
  <c r="J106" i="12" l="1"/>
  <c r="E142" i="13" l="1"/>
  <c r="E125" i="13"/>
  <c r="E94" i="13"/>
  <c r="O132" i="12" l="1"/>
  <c r="I132" i="12" s="1"/>
  <c r="O131" i="12"/>
  <c r="I131" i="12" s="1"/>
  <c r="R103" i="12"/>
  <c r="R91" i="12"/>
  <c r="J91" i="12" l="1"/>
  <c r="R82" i="12" l="1"/>
  <c r="J77" i="12"/>
  <c r="J71" i="12"/>
  <c r="O58" i="12"/>
  <c r="O57" i="12"/>
  <c r="R56" i="12" l="1"/>
  <c r="N18" i="12"/>
  <c r="I18" i="12" s="1"/>
  <c r="J33" i="12"/>
  <c r="J17" i="12"/>
  <c r="N50" i="12"/>
  <c r="J27" i="12"/>
  <c r="N28" i="12"/>
  <c r="N30" i="12"/>
  <c r="J29" i="12"/>
  <c r="N31" i="12"/>
  <c r="N43" i="12"/>
  <c r="N44" i="12"/>
  <c r="N42" i="12"/>
  <c r="N45" i="12"/>
  <c r="J133" i="12"/>
  <c r="K133" i="12"/>
  <c r="L133" i="12"/>
  <c r="M133" i="12"/>
  <c r="N133" i="12"/>
  <c r="O133" i="12"/>
  <c r="P133" i="12"/>
  <c r="Q133" i="12"/>
  <c r="R133" i="12"/>
  <c r="G121" i="12"/>
  <c r="H116" i="12"/>
  <c r="H115" i="12"/>
  <c r="H114" i="12"/>
  <c r="G113" i="12"/>
  <c r="H113" i="12"/>
  <c r="H112" i="12"/>
  <c r="G110" i="12"/>
  <c r="H110" i="12"/>
  <c r="H109" i="12"/>
  <c r="R89" i="12"/>
  <c r="G99" i="12"/>
  <c r="H99" i="12"/>
  <c r="I99" i="12"/>
  <c r="I98" i="12"/>
  <c r="H98" i="12"/>
  <c r="H133" i="12" l="1"/>
  <c r="H107" i="12"/>
  <c r="H105" i="12"/>
  <c r="H104" i="12"/>
  <c r="G103" i="12"/>
  <c r="H103" i="12"/>
  <c r="H102" i="12" l="1"/>
  <c r="H100" i="12" l="1"/>
  <c r="H95" i="12"/>
  <c r="N93" i="12"/>
  <c r="H96" i="12"/>
  <c r="H97" i="12"/>
  <c r="H88" i="12" l="1"/>
  <c r="I84" i="12"/>
  <c r="H82" i="12"/>
  <c r="H74" i="12"/>
  <c r="H73" i="12"/>
  <c r="H72" i="12"/>
  <c r="G71" i="12"/>
  <c r="H71" i="12"/>
  <c r="H70" i="12"/>
  <c r="H68" i="12"/>
  <c r="H67" i="12"/>
  <c r="H65" i="12" l="1"/>
  <c r="H63" i="12" l="1"/>
  <c r="H62" i="12"/>
  <c r="H60" i="12" l="1"/>
  <c r="H57" i="12" l="1"/>
  <c r="H56" i="12"/>
  <c r="H46" i="12"/>
  <c r="H45" i="12"/>
  <c r="H44" i="12"/>
  <c r="H43" i="12"/>
  <c r="H42" i="12"/>
  <c r="H40" i="12"/>
  <c r="H39" i="12"/>
  <c r="H37" i="12"/>
  <c r="G36" i="12"/>
  <c r="H36" i="12"/>
  <c r="I36" i="12"/>
  <c r="G33" i="12"/>
  <c r="H33" i="12"/>
  <c r="H31" i="12"/>
  <c r="H30" i="12"/>
  <c r="H29" i="12"/>
  <c r="H28" i="12"/>
  <c r="H27" i="12"/>
  <c r="H26" i="12"/>
  <c r="H25" i="12"/>
  <c r="H24" i="12"/>
  <c r="H23" i="12"/>
  <c r="H22" i="12"/>
  <c r="H21" i="12"/>
  <c r="H19" i="12"/>
  <c r="H18" i="12"/>
  <c r="H17" i="12"/>
  <c r="H16" i="12"/>
  <c r="G15" i="12" l="1"/>
  <c r="H15" i="12"/>
  <c r="H14" i="12"/>
  <c r="H13" i="12"/>
  <c r="H12" i="12"/>
  <c r="G12" i="12"/>
  <c r="I12" i="12"/>
  <c r="E179" i="13" l="1"/>
  <c r="G101" i="12" l="1"/>
  <c r="E228" i="13" l="1"/>
  <c r="G104" i="12" l="1"/>
  <c r="I106" i="12"/>
  <c r="K55" i="12" l="1"/>
  <c r="L55" i="12"/>
  <c r="M55" i="12"/>
  <c r="O55" i="12"/>
  <c r="P55" i="12"/>
  <c r="R55" i="12"/>
  <c r="I51" i="12"/>
  <c r="J61" i="12" l="1"/>
  <c r="K87" i="12" l="1"/>
  <c r="L87" i="12"/>
  <c r="M87" i="12"/>
  <c r="O87" i="12"/>
  <c r="P87" i="12"/>
  <c r="Q87" i="12"/>
  <c r="I86" i="12"/>
  <c r="G115" i="12" l="1"/>
  <c r="G89" i="12" l="1"/>
  <c r="G100" i="12" l="1"/>
  <c r="G90" i="12"/>
  <c r="J92" i="12" l="1"/>
  <c r="G76" i="12" l="1"/>
  <c r="I112" i="12" l="1"/>
  <c r="I94" i="12"/>
  <c r="I100" i="12"/>
  <c r="I101" i="12"/>
  <c r="I102" i="12"/>
  <c r="I85" i="12" l="1"/>
  <c r="I113" i="12" l="1"/>
  <c r="G109" i="12" l="1"/>
  <c r="I109" i="12" l="1"/>
  <c r="I89" i="12"/>
  <c r="G92" i="12"/>
  <c r="I92" i="12"/>
  <c r="J87" i="12"/>
  <c r="R87" i="12"/>
  <c r="I110" i="12" l="1"/>
  <c r="I91" i="12"/>
  <c r="I93" i="12" l="1"/>
  <c r="I104" i="12"/>
  <c r="N32" i="12" l="1"/>
  <c r="I111" i="12" l="1"/>
  <c r="I114" i="12" l="1"/>
  <c r="G96" i="12" l="1"/>
  <c r="I96" i="12"/>
  <c r="I103" i="12"/>
  <c r="I90" i="12"/>
  <c r="R88" i="12" l="1"/>
  <c r="I88" i="12" l="1"/>
  <c r="I105" i="12" l="1"/>
  <c r="I61" i="12" l="1"/>
  <c r="K108" i="12" l="1"/>
  <c r="K78" i="12"/>
  <c r="K134" i="12" l="1"/>
  <c r="I57" i="12"/>
  <c r="G57" i="12"/>
  <c r="J95" i="12" l="1"/>
  <c r="I95" i="12" s="1"/>
  <c r="G34" i="12" l="1"/>
  <c r="I133" i="12" l="1"/>
  <c r="G112" i="12" l="1"/>
  <c r="G72" i="12" l="1"/>
  <c r="G73" i="12"/>
  <c r="G74" i="12"/>
  <c r="G102" i="12" l="1"/>
  <c r="G64" i="12" l="1"/>
  <c r="I74" i="12" l="1"/>
  <c r="I76" i="12"/>
  <c r="I77" i="12"/>
  <c r="I41" i="12" l="1"/>
  <c r="I40" i="12"/>
  <c r="N55" i="12" l="1"/>
  <c r="I20" i="12"/>
  <c r="I14" i="12"/>
  <c r="G14" i="12"/>
  <c r="I13" i="12"/>
  <c r="G13" i="12"/>
  <c r="G107" i="12" l="1"/>
  <c r="I107" i="12"/>
  <c r="N87" i="12" l="1"/>
  <c r="H69" i="12" l="1"/>
  <c r="H34" i="12" l="1"/>
  <c r="H35" i="12"/>
  <c r="I49" i="12" l="1"/>
  <c r="I48" i="12"/>
  <c r="I47" i="12" l="1"/>
  <c r="G75" i="12" l="1"/>
  <c r="J108" i="12" l="1"/>
  <c r="G87" i="12" l="1"/>
  <c r="L78" i="12" l="1"/>
  <c r="M78" i="12"/>
  <c r="N78" i="12"/>
  <c r="O78" i="12"/>
  <c r="P78" i="12"/>
  <c r="Q78" i="12"/>
  <c r="R78" i="12"/>
  <c r="G70" i="12" l="1"/>
  <c r="I70" i="12"/>
  <c r="I75" i="12" l="1"/>
  <c r="J78" i="12" l="1"/>
  <c r="H32" i="12" l="1"/>
  <c r="G67" i="12" l="1"/>
  <c r="G68" i="12"/>
  <c r="G69" i="12"/>
  <c r="G114" i="12" l="1"/>
  <c r="G133" i="12" s="1"/>
  <c r="J59" i="12" l="1"/>
  <c r="L59" i="12"/>
  <c r="M59" i="12"/>
  <c r="N59" i="12"/>
  <c r="O59" i="12"/>
  <c r="P59" i="12"/>
  <c r="Q59" i="12"/>
  <c r="R59" i="12"/>
  <c r="I58" i="12"/>
  <c r="G62" i="12" l="1"/>
  <c r="I64" i="12"/>
  <c r="G63" i="12" l="1"/>
  <c r="G65" i="12"/>
  <c r="H78" i="12" l="1"/>
  <c r="H87" i="12" l="1"/>
  <c r="I46" i="12" l="1"/>
  <c r="I45" i="12"/>
  <c r="I44" i="12"/>
  <c r="I97" i="12" l="1"/>
  <c r="I108" i="12" s="1"/>
  <c r="I43" i="12" l="1"/>
  <c r="I67" i="12" l="1"/>
  <c r="I66" i="12"/>
  <c r="I79" i="12" l="1"/>
  <c r="G42" i="12" l="1"/>
  <c r="G37" i="12"/>
  <c r="G31" i="12"/>
  <c r="G30" i="12"/>
  <c r="G29" i="12"/>
  <c r="G28" i="12"/>
  <c r="G27" i="12"/>
  <c r="G78" i="12" l="1"/>
  <c r="G35" i="12" l="1"/>
  <c r="G97" i="12" l="1"/>
  <c r="H59" i="12" l="1"/>
  <c r="G21" i="12" l="1"/>
  <c r="G88" i="12" l="1"/>
  <c r="I82" i="12" l="1"/>
  <c r="I83" i="12" l="1"/>
  <c r="I37" i="12" l="1"/>
  <c r="I32" i="12"/>
  <c r="G32" i="12"/>
  <c r="I27" i="12"/>
  <c r="G56" i="12" l="1"/>
  <c r="G59" i="12" s="1"/>
  <c r="G25" i="12" l="1"/>
  <c r="G18" i="12"/>
  <c r="I42" i="12" l="1"/>
  <c r="I38" i="12" l="1"/>
  <c r="I39" i="12"/>
  <c r="Q17" i="12" l="1"/>
  <c r="Q55" i="12" s="1"/>
  <c r="I65" i="12" l="1"/>
  <c r="I81" i="12" l="1"/>
  <c r="E229" i="13" l="1"/>
  <c r="I68" i="12" l="1"/>
  <c r="Q108" i="12" l="1"/>
  <c r="Q134" i="12" s="1"/>
  <c r="I22" i="12" l="1"/>
  <c r="I23" i="12"/>
  <c r="I24" i="12"/>
  <c r="I25" i="12"/>
  <c r="I26" i="12"/>
  <c r="I28" i="12"/>
  <c r="I29" i="12"/>
  <c r="I30" i="12"/>
  <c r="I31" i="12"/>
  <c r="I33" i="12"/>
  <c r="I34" i="12"/>
  <c r="I35" i="12"/>
  <c r="G19" i="12" l="1"/>
  <c r="G17" i="12" l="1"/>
  <c r="I73" i="12" l="1"/>
  <c r="I72" i="12"/>
  <c r="I71" i="12"/>
  <c r="I80" i="12" l="1"/>
  <c r="I87" i="12" s="1"/>
  <c r="I63" i="12" l="1"/>
  <c r="M108" i="12" l="1"/>
  <c r="M134" i="12" s="1"/>
  <c r="R108" i="12"/>
  <c r="R134" i="12" s="1"/>
  <c r="P108" i="12"/>
  <c r="P134" i="12" s="1"/>
  <c r="I21" i="12"/>
  <c r="I19" i="12"/>
  <c r="I17" i="12"/>
  <c r="J16" i="12"/>
  <c r="I55" i="12" l="1"/>
  <c r="J134" i="12"/>
  <c r="I16" i="12"/>
  <c r="I69" i="12"/>
  <c r="L108" i="12"/>
  <c r="L134" i="12" s="1"/>
  <c r="I62" i="12"/>
  <c r="N108" i="12"/>
  <c r="N134" i="12" s="1"/>
  <c r="G108" i="12"/>
  <c r="G134" i="12" s="1"/>
  <c r="I60" i="12"/>
  <c r="I56" i="12"/>
  <c r="I59" i="12" s="1"/>
  <c r="H108" i="12"/>
  <c r="H134" i="12" s="1"/>
  <c r="O108" i="12"/>
  <c r="O134" i="12" s="1"/>
  <c r="I78" i="12" l="1"/>
  <c r="I13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Valdemaras Mockaitis</author>
    <author>HP</author>
  </authors>
  <commentList>
    <comment ref="G15" authorId="0" shapeId="0" xr:uid="{53574FA2-5314-4056-B458-EBA02A117A25}">
      <text>
        <r>
          <rPr>
            <b/>
            <sz val="9"/>
            <color indexed="81"/>
            <rFont val="Tahoma"/>
            <family val="2"/>
            <charset val="186"/>
          </rPr>
          <t>Valdemaras Mockaitis:</t>
        </r>
        <r>
          <rPr>
            <sz val="9"/>
            <color indexed="81"/>
            <rFont val="Tahoma"/>
            <family val="2"/>
            <charset val="186"/>
          </rPr>
          <t xml:space="preserve">
me-new 12.477,3...</t>
        </r>
      </text>
    </comment>
    <comment ref="O23" authorId="0" shapeId="0" xr:uid="{BC73A5DC-196C-483C-8077-9BB0CE980AC8}">
      <text>
        <r>
          <rPr>
            <b/>
            <sz val="9"/>
            <color indexed="81"/>
            <rFont val="Tahoma"/>
            <family val="2"/>
            <charset val="186"/>
          </rPr>
          <t>Valdemaras Mockaitis:</t>
        </r>
        <r>
          <rPr>
            <sz val="9"/>
            <color indexed="81"/>
            <rFont val="Tahoma"/>
            <family val="2"/>
            <charset val="186"/>
          </rPr>
          <t xml:space="preserve">
Pagal SvietAS 2025-11-07 atsiųtą VMIP2026 pirm.poreiki - čia 300,0 numatoma...</t>
        </r>
      </text>
    </comment>
    <comment ref="O59" authorId="1" shapeId="0" xr:uid="{7818DF71-213D-4CC3-BC42-F5199917246C}">
      <text>
        <r>
          <rPr>
            <b/>
            <sz val="9"/>
            <color indexed="81"/>
            <rFont val="Tahoma"/>
            <family val="2"/>
          </rPr>
          <t>VM:</t>
        </r>
        <r>
          <rPr>
            <sz val="9"/>
            <color indexed="81"/>
            <rFont val="Tahoma"/>
            <family val="2"/>
          </rPr>
          <t xml:space="preserve">
1.433,7 pagal V. Sel. Info (2026-01-15)...</t>
        </r>
      </text>
    </comment>
    <comment ref="J89" authorId="1" shapeId="0" xr:uid="{152F99BC-C607-48AE-961C-636A2F7DACF1}">
      <text>
        <r>
          <rPr>
            <b/>
            <sz val="9"/>
            <color indexed="81"/>
            <rFont val="Tahoma"/>
            <family val="2"/>
          </rPr>
          <t>VM:</t>
        </r>
        <r>
          <rPr>
            <sz val="9"/>
            <color indexed="81"/>
            <rFont val="Tahoma"/>
            <family val="2"/>
          </rPr>
          <t xml:space="preserve">
dar prideta:
400,0 - Kareivių g. tarp Verkių ir Žirmūnų g. remontui.;
150,0 - Bieliūnų gatvės ir lietaus nuotekų tinklo nuo Bieliūnų g. 5 iki Leičių g., Vilniuje, statybos projektui.</t>
        </r>
      </text>
    </comment>
    <comment ref="J96" authorId="1" shapeId="0" xr:uid="{0B85B04D-6243-4224-9B1A-42238538B687}">
      <text>
        <r>
          <rPr>
            <sz val="10"/>
            <rFont val="Arial"/>
            <family val="2"/>
            <charset val="186"/>
          </rPr>
          <t>HP:
cia dar plius 800,0 - Dviračių tako Antakalnio gatvėje nuo Oginskio g. iki Saulėtekio al. statyba (800,0 tūkst. Eur) (nuimta 26.02.04)</t>
        </r>
      </text>
    </comment>
    <comment ref="G103" authorId="0" shapeId="0" xr:uid="{359272C1-A9C7-4926-BE2F-EEA917506267}">
      <text>
        <r>
          <rPr>
            <b/>
            <sz val="9"/>
            <color indexed="81"/>
            <rFont val="Tahoma"/>
            <family val="2"/>
            <charset val="186"/>
          </rPr>
          <t>Valdemaras Mockaitis:</t>
        </r>
        <r>
          <rPr>
            <sz val="9"/>
            <color indexed="81"/>
            <rFont val="Tahoma"/>
            <family val="2"/>
            <charset val="186"/>
          </rPr>
          <t xml:space="preserve">
me-new 7.661,7</t>
        </r>
      </text>
    </comment>
  </commentList>
</comments>
</file>

<file path=xl/sharedStrings.xml><?xml version="1.0" encoding="utf-8"?>
<sst xmlns="http://schemas.openxmlformats.org/spreadsheetml/2006/main" count="736" uniqueCount="327">
  <si>
    <t>Vilniaus miesto savivaldybės mero</t>
  </si>
  <si>
    <t>tūkst. Eur</t>
  </si>
  <si>
    <t>Eil. nr.</t>
  </si>
  <si>
    <t>Veiklos plano papriemonės kodas</t>
  </si>
  <si>
    <t>Investicijų projekto pavadinimas</t>
  </si>
  <si>
    <t>Savivaldybės veiklos plano programa</t>
  </si>
  <si>
    <t>Įgyvendinimo terminai</t>
  </si>
  <si>
    <t>Numatoma priemonės vertė</t>
  </si>
  <si>
    <r>
      <t>Panaudota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lėšų iki 2026-01-01</t>
    </r>
  </si>
  <si>
    <t>Iš viso</t>
  </si>
  <si>
    <t xml:space="preserve"> iš jų:</t>
  </si>
  <si>
    <t>pradžia</t>
  </si>
  <si>
    <t>pabaiga</t>
  </si>
  <si>
    <t>Savivaldybės biudžeto lėšos</t>
  </si>
  <si>
    <t>Valstybės biudžeto dotacijos</t>
  </si>
  <si>
    <t>Paramos lėšos socialinės infrastruktūros plėtrai</t>
  </si>
  <si>
    <t>Socialinio būsto fondo plėtros lėšos</t>
  </si>
  <si>
    <t>Skolintos lėšos</t>
  </si>
  <si>
    <t>Europos Sąjungos ir kitos tarptautinės finansinės paramos lėšos</t>
  </si>
  <si>
    <t>Iš pajamų už parduotus valstybinės žemės sklypus</t>
  </si>
  <si>
    <t>Infrastruktūros plėtros lėšos</t>
  </si>
  <si>
    <t>Iš apyvartos lėšų likučių 2026 m. sausio 1 d.**</t>
  </si>
  <si>
    <t>A</t>
  </si>
  <si>
    <t>B</t>
  </si>
  <si>
    <t>C</t>
  </si>
  <si>
    <t>20108010601</t>
  </si>
  <si>
    <t>Justino Vienožinskio dailės mokyklos (adresu S. Konarskio g. 37, Vilnius) techninio projekto parengimas ir statinio projekto vykdymo priežiūra</t>
  </si>
  <si>
    <t>20108010814</t>
  </si>
  <si>
    <t xml:space="preserve">Vilniaus Simono Stanevičiaus progimnazijos (adresu S. Stanevičiaus g. 25, Vilnius) efektyvumo didinimas, vidaus remonto darbų įsigijimas </t>
  </si>
  <si>
    <t>20108010819</t>
  </si>
  <si>
    <t>Vilniaus kunigaikščio Gedimino progimnazijos efektyvumo didinimas (III etapas)</t>
  </si>
  <si>
    <t>20108020203</t>
  </si>
  <si>
    <t>Ikimokyklinio ugdymo įstaigos Žemynos g. 2 C, Vilniuje, statyba</t>
  </si>
  <si>
    <t>20108020102</t>
  </si>
  <si>
    <t>Balsių pagrindinės mokyklos, Bubilo g. 8, statybos sąnaudų dengimas</t>
  </si>
  <si>
    <t>01 programa „Švietimas“</t>
  </si>
  <si>
    <t>20108020204</t>
  </si>
  <si>
    <t>Mokslo paskirties pastato (7.11) (vaikų lopšelio-darželio), Pajautos g. 7, projekto įgyvendinimas</t>
  </si>
  <si>
    <t xml:space="preserve"> </t>
  </si>
  <si>
    <t>20108020205</t>
  </si>
  <si>
    <t>Mokslo paskirties pastato (progimnazijos), Pavilnionių g. 25, Vilniuje,  statyba</t>
  </si>
  <si>
    <t>20108020206</t>
  </si>
  <si>
    <t>Mokslo paskirties pastato (7.11) (vaikų lopšelio-darželio), Tolminkiemio g. 11A, projekto įgyvendinimas</t>
  </si>
  <si>
    <t>20108020108</t>
  </si>
  <si>
    <t>Mokslo paskirties pastato projekto Tarandėje įgyvendinimas</t>
  </si>
  <si>
    <t>20108020113</t>
  </si>
  <si>
    <t>Mokslo paskirties pastato (progimnazijos), Bajorų kel. 12, Vilniuje, statyba</t>
  </si>
  <si>
    <t>20108010102</t>
  </si>
  <si>
    <t>Vilniaus lopšelio-darželio ,,Malūnėlis“, Popieriaus g. 7,  projekto įgyvendinimas</t>
  </si>
  <si>
    <t>20108020114</t>
  </si>
  <si>
    <t xml:space="preserve">Vilniaus ,,Vilties“ specialiosios mokyklos-daugiafunkcinio centro pastato, Savanorių pr. 55, projekto įgyvendinimas </t>
  </si>
  <si>
    <t>20108020207</t>
  </si>
  <si>
    <t>Mokslo paskirties pastato (vaikų lopšelio-darželio), Bieliūnų g. 5, 9, projekto įgyvendinimas</t>
  </si>
  <si>
    <t>20108020208</t>
  </si>
  <si>
    <t>Mokslo paskirties pastato (vaikų lopšelio-darželio), Kernavės g. 82, projekto įgyvendinimas</t>
  </si>
  <si>
    <t>20108020115</t>
  </si>
  <si>
    <t>Mokslo paskirties pastato Pavilnyje, S. Lozoraičio g. 95/S. Šilingo g., projekto įgyvendinimas</t>
  </si>
  <si>
    <t>20108010314</t>
  </si>
  <si>
    <t>Mokslo paskirties pastato (licėjus), Kruopų g. 11, Vilniuje, kapitalinis remontas</t>
  </si>
  <si>
    <t>20108010202</t>
  </si>
  <si>
    <t>Vilniaus Vyturio pradinės mokyklos pastato (7.11) Taikos g. 189, Vilniuje, remontas</t>
  </si>
  <si>
    <t>20108010203</t>
  </si>
  <si>
    <t>Mokslo paskirties pastato (pradinės m-klos), Šeškinės g. 15, Vilniuje, rekonstravimas</t>
  </si>
  <si>
    <t>20108010315</t>
  </si>
  <si>
    <t>Vilniaus kunigaikščio Gedimino progimnazijos pastato, Blindžių g., projekto įgyvendinimas</t>
  </si>
  <si>
    <t>20108010316</t>
  </si>
  <si>
    <t>Vilniaus kunigaikščio Gedimino progimnazijos pastato, Miglos g., projekto įgyvendinimas</t>
  </si>
  <si>
    <t>20108010103</t>
  </si>
  <si>
    <t>Vilniaus lopšelio-darželio ,,Pipiras“ projekto įgyvendinimas</t>
  </si>
  <si>
    <t>20108010104</t>
  </si>
  <si>
    <t>Vilniaus lopšelio-darželio ,,Žirniukas“ projekto įgyvendinimas</t>
  </si>
  <si>
    <t>20108010502</t>
  </si>
  <si>
    <t>Vilniaus Trakų Vokės gimnazijos pastato atnaujinimas (modernizavimas), sumažinant energijos suvartojimo sąnaudas</t>
  </si>
  <si>
    <t>20108010503</t>
  </si>
  <si>
    <t>Vilniaus Fabijoniškių mokyklos pastato Vilniuje, P. Žadeikos g. 2, rekonstravimas</t>
  </si>
  <si>
    <t>20108010504</t>
  </si>
  <si>
    <t>Vilniaus Laisvės gimnazijos pastato Vilniuje, Darželio g. 2, modernizavimas</t>
  </si>
  <si>
    <t>20108020209</t>
  </si>
  <si>
    <t>Vaikų lopšelio-darželio pastato Aušrinės g. 10A statyba</t>
  </si>
  <si>
    <t>20108020117</t>
  </si>
  <si>
    <t>S. Konarskio gimnazijos, Statybininkų g. 5, priestato statyba</t>
  </si>
  <si>
    <t>20108020118</t>
  </si>
  <si>
    <t>Mokslo paskirties pastato (gimnazijos), M. Marcinkevičiaus g. 72, Vilniuje, statyba</t>
  </si>
  <si>
    <t>20108020121</t>
  </si>
  <si>
    <t>Vilniaus kunigaikščio Gedimino progimnazijos palėpės patalpų, Lukiškių skg. 5, Vilniuje, remontas</t>
  </si>
  <si>
    <t>20108020119</t>
  </si>
  <si>
    <t>Mokslo paskirties pastato Flamandų g. projekto įgyvendinimas</t>
  </si>
  <si>
    <t>20108020120</t>
  </si>
  <si>
    <t>Mokslo paskirties pastato (darželio-pradinės mokyklos), Moravų g. 4, Vilniuje, statyba</t>
  </si>
  <si>
    <t>20108020210</t>
  </si>
  <si>
    <t>Vaikų lopšelio-darželio Braškių g. 54 statyba</t>
  </si>
  <si>
    <t>20108010320</t>
  </si>
  <si>
    <t>Šv. Kristoforo gimnazijos, Kazliškių g. 4, Vilniuje rekonstrukcija</t>
  </si>
  <si>
    <t>20108010321</t>
  </si>
  <si>
    <t>VGTU inžinerijos licėjaus, Nemenčinės pl. 16, Vilniuje rekonstrukcija</t>
  </si>
  <si>
    <t>20108010322</t>
  </si>
  <si>
    <t>Vilniaus Simono Daukanto progimnazijos, Naugarduko g. 7, Vilniuje rekonstrukcija</t>
  </si>
  <si>
    <t>20108010107</t>
  </si>
  <si>
    <t>Vilniaus Markučių lopšelio-darželio, Pakraščio g. 15, Vilniuje, rekonstravimas</t>
  </si>
  <si>
    <t>20108010323</t>
  </si>
  <si>
    <t>Mokslo paskirties pastato (Vilniaus Verkių mokyklos-daugiafunkcio centro), Verkių g. 62, Vilniuje, rekonstravimas</t>
  </si>
  <si>
    <t>20108010324</t>
  </si>
  <si>
    <t>Mokslo paskirties pastato (A. Kulviečio klasikinės gimnazijos), Gedvydžių g. 8, Vilniuje, rekonstravimas</t>
  </si>
  <si>
    <t>20108020122</t>
  </si>
  <si>
    <t>Regioninio specialiojo ugdymo centro plėtra Vilniaus Šilo ugdymo centre</t>
  </si>
  <si>
    <t>20108010204</t>
  </si>
  <si>
    <t>Medeinos pradinės mokyklos, Medeinos g. 27, Vilniuje, rekonstravimas</t>
  </si>
  <si>
    <t>20108010205</t>
  </si>
  <si>
    <t>Vilniaus lopšelio-darželio „Užupiukas“, rekonstravimas</t>
  </si>
  <si>
    <t>20108010206</t>
  </si>
  <si>
    <t>Vilniaus „Juventos" gimnazijos kapitalinis remontas</t>
  </si>
  <si>
    <t>20108010820</t>
  </si>
  <si>
    <t>Švietimo įstaigų projektų analizės</t>
  </si>
  <si>
    <t>IŠ VISO</t>
  </si>
  <si>
    <t xml:space="preserve">01 programa </t>
  </si>
  <si>
    <t>20206010102</t>
  </si>
  <si>
    <t>Savivaldybės socialinio būsto statyba ir pirkimas, aplinkotvarkos darbai</t>
  </si>
  <si>
    <t>02 programa „Socialinė apsauga“</t>
  </si>
  <si>
    <t>20206010101</t>
  </si>
  <si>
    <t>Socialinio būsto plėtra (pagal ES regioninę priemonę Nr. 08.1.2-CPVA-R-408)</t>
  </si>
  <si>
    <t>20203010406</t>
  </si>
  <si>
    <t>Projekto „Vilniaus miesto bendruomeninių paslaugų tinklo plėtra“ įgyvendinimas</t>
  </si>
  <si>
    <t xml:space="preserve"> IŠ  VISO</t>
  </si>
  <si>
    <t xml:space="preserve">02 programa </t>
  </si>
  <si>
    <t>`</t>
  </si>
  <si>
    <t>20301040101</t>
  </si>
  <si>
    <t>Savivaldybės sveikatos priežiūros įstaigų reorganizacija, restruktūrizacija, renovacija ir medicinos įrangos įsigijimas</t>
  </si>
  <si>
    <t>20301040126</t>
  </si>
  <si>
    <t>VšĮ Vilniaus miesto klinikinės ligoninės operacinių, reanimacijos ir hemodializės bloko Antakalnio g. 57, Vilniuje, medicinos įrangos įsigijimas</t>
  </si>
  <si>
    <t>20301040105</t>
  </si>
  <si>
    <t>VšĮ Vilniaus miesto psichikos sveikatos centro ūmios psichiatrijos, gerontopsichiatrijos ir psichosocialinės reabilitacijos korpuso Vasaros g. 5, Vilniuje, statyba ir įrengimas</t>
  </si>
  <si>
    <t>03 programa „Sveikata ir sveikatingumas“</t>
  </si>
  <si>
    <t>20301040110</t>
  </si>
  <si>
    <t>VšĮ Karoliniškių poliklinikos Pilaitės filialo priestato statyba ir paslaugų plėtra</t>
  </si>
  <si>
    <t>20301040122</t>
  </si>
  <si>
    <t>VšĮ Naujosios Vilnios poliklinikos Naujininkų filialo, Dariaus ir Girėno g. 18, Vilniuje energetinio efektyvumo gerinimas, teritorijos pertvarkymas</t>
  </si>
  <si>
    <t>Patalpų, Kauno g. 3, Vilniuje, kapitalinis remontas ir statinio paskirties keitimas</t>
  </si>
  <si>
    <t>20304010102</t>
  </si>
  <si>
    <t>Sporto aikštelių prie mokyklų įrengimas (II etapas)</t>
  </si>
  <si>
    <t>Sporto aikštelių įrengimas viešosiose erdvėse</t>
  </si>
  <si>
    <t>20304012001</t>
  </si>
  <si>
    <t>Sporto aikštelių prie vaikų lopšelių-darželių įrengimas</t>
  </si>
  <si>
    <t>20304011301</t>
  </si>
  <si>
    <t>Vilniaus Pilaitės baseino įrengimas su projektavimo darbais ir įrangos įsigijimu, Įsruties g. 3</t>
  </si>
  <si>
    <t>20304011501</t>
  </si>
  <si>
    <t>Vilniaus ledo arenos Jotvingių g. 1 įrengimas su projektavimo darbais ir įrangos įsigijimu</t>
  </si>
  <si>
    <t>20304011001</t>
  </si>
  <si>
    <t>Vilniaus lengvosios atletikos maniežo Žirmūnų g. 1H įrengimas su projektavimo darbais ir įrangos įsigijimu</t>
  </si>
  <si>
    <t>20304011101</t>
  </si>
  <si>
    <t>Vilniaus irklavimo bazės  Žirmūnų g. 1P įrengimas su projektavimo darbais ir įrangos įsigijimu</t>
  </si>
  <si>
    <t>20304011201</t>
  </si>
  <si>
    <t>Vilniaus Mykolo Biržiškos gimnazijos Taikos g. 81 sporto aikštyno rekonstrukcija su projektavimo darbais ir įrangos įsigijimu</t>
  </si>
  <si>
    <t>20304010702</t>
  </si>
  <si>
    <t>Lazdynų baseino SPA zonos įrengimas</t>
  </si>
  <si>
    <t>20304012401</t>
  </si>
  <si>
    <t>Pavilnio progimnazijos aikštyno įrengimas</t>
  </si>
  <si>
    <t>20304012501</t>
  </si>
  <si>
    <t>Fabijoniškių sporto aikštyno rekonstrukcija</t>
  </si>
  <si>
    <t>20304012601</t>
  </si>
  <si>
    <t>Sporto salių plėtros projektas</t>
  </si>
  <si>
    <t xml:space="preserve">03 programa </t>
  </si>
  <si>
    <t>20407010301</t>
  </si>
  <si>
    <t>Trakų Vokės dvaro sodybos rūmų tvarkybos darbai</t>
  </si>
  <si>
    <t>20407010401</t>
  </si>
  <si>
    <t>Kultūros pastato - Rotušės, Didžioji g. 31, Vilniuje, kapitalinis remontas</t>
  </si>
  <si>
    <t>20407010901</t>
  </si>
  <si>
    <t>Kirdiejų rūmų (Barboros Radvilatės g. 4 ir 6) pritaikymas Vilniaus miesto muziejui</t>
  </si>
  <si>
    <t>20409012201</t>
  </si>
  <si>
    <t>Pavilnio bendruomenės centro, adresu Garsioji g. 3, Vilniuje, projektavimas ir statyba</t>
  </si>
  <si>
    <t xml:space="preserve">04 programa „Kultūra“ </t>
  </si>
  <si>
    <t>20407010101</t>
  </si>
  <si>
    <t>Nacionalinės koncertų salės infrastruktūros sukūrimas užtikrinant paslaugų kokybę, inovatyvumą ir prieinamumą</t>
  </si>
  <si>
    <t>20403010601</t>
  </si>
  <si>
    <t>Pastato, Maironio g. 2, paskirties keitimas kultūrinei veiklai ir statybos darbai</t>
  </si>
  <si>
    <t>20407011001</t>
  </si>
  <si>
    <t>VšĮ „Skalvijos“ kino centro patalpų remontas</t>
  </si>
  <si>
    <t>20407011101</t>
  </si>
  <si>
    <t>Vilniaus kongresų centro statyba</t>
  </si>
  <si>
    <t xml:space="preserve">04 programa </t>
  </si>
  <si>
    <t>Nemenčinės plento rekonstrukcija nuo Kairėnų gatvės iki miesto ribos</t>
  </si>
  <si>
    <t xml:space="preserve">Vilniaus miesto susisiekimo infrastruktūros vystymas (priežiūra, remontas, rekonstrukcija) </t>
  </si>
  <si>
    <t>05 programa „Judumas“</t>
  </si>
  <si>
    <t>Vilniaus miesto susisiekimo infrastruktūros vystymas (statyba, rekonstrukcija)</t>
  </si>
  <si>
    <t>20502030305</t>
  </si>
  <si>
    <t>Džiaugsmo gatvės kapitalinis remontas</t>
  </si>
  <si>
    <t>20502030306</t>
  </si>
  <si>
    <t>Jungiamojo kelio šalia valstybinės reikšmės magistralinio kelio A2 Vilnius - Panevėžys ruožo nuo 9,284 km iki 9,856 km, Vilniuje, statyba</t>
  </si>
  <si>
    <t>20502030307</t>
  </si>
  <si>
    <t>Liubarto tilto kapitalinis remontas</t>
  </si>
  <si>
    <t>20502030308</t>
  </si>
  <si>
    <t>Valakupių tilto, O. Milašiaus g. kapitalinis remontas</t>
  </si>
  <si>
    <t>Paviršinių nuotekų šalinimo tinklų Kalvarijų g. įrengimas su gatvės dangų atstatymu</t>
  </si>
  <si>
    <t>20502030401</t>
  </si>
  <si>
    <t>Susisiekimo infrastruktūros projektavimas</t>
  </si>
  <si>
    <t>20503011101</t>
  </si>
  <si>
    <t>Neries slėnio rekreacinės paskirties takų ir jų jungčių, saugos ir kitos viešųjų erdvių infrastruktūros įrengimas</t>
  </si>
  <si>
    <t>20503011401</t>
  </si>
  <si>
    <t>Susisiekimo optimizavimas pagal darnaus judumo principus Šeškinės daugiafunkcio komplekso prieigose, įrengiant tam tinkamą infrastruktūrą su inžinerinėmis komunikacijomis</t>
  </si>
  <si>
    <t>20503012401</t>
  </si>
  <si>
    <t>Kilpinis eismo reguliavimas Vilniaus m. senamiesčio branduolio teritorijoje</t>
  </si>
  <si>
    <t>20503011102</t>
  </si>
  <si>
    <t>Neries krantinių kairės pusės II etapo (Nuo Vileišių skvero iki Žaliojo tilto) įgyvendinimas</t>
  </si>
  <si>
    <t>20503012601</t>
  </si>
  <si>
    <t>Pėsčiųjų tilto per Neries upę, nuo A. Goštauto g. iki Upės g., Vilniuje statyba</t>
  </si>
  <si>
    <t>20503012301</t>
  </si>
  <si>
    <t>Viešojo transporto eismo juostų plėtra Vilniaus m. savivaldybės teritorijoje</t>
  </si>
  <si>
    <t>20503011901</t>
  </si>
  <si>
    <t>Vokiečių gatvės rekonstrukcija</t>
  </si>
  <si>
    <t>20502030901</t>
  </si>
  <si>
    <t>UAB „Vilniaus viešasis transportas“ veiklos optimizavimas, viešojo transporto priemonių parką, esantį adresu Verkių g. 52, Vilniuje, restruktūrizuojant į atskirus įmonės parkus</t>
  </si>
  <si>
    <t>20502030902</t>
  </si>
  <si>
    <t>Viešojo transporto galinių punktų įrengimas</t>
  </si>
  <si>
    <t>20503011402</t>
  </si>
  <si>
    <t>Ozo, Ukmergės ir Siesikų gatvių rekonstrukcija</t>
  </si>
  <si>
    <t>Miesto investicinių objektų parengimo programa (žemės ir kito nekilnojamojo turto perėmimas Savivaldybės reikmėms)</t>
  </si>
  <si>
    <t xml:space="preserve">05 programa </t>
  </si>
  <si>
    <t>Komunalinių atliekų konteinerių aikštelių įrengimas ir komunalinių atliekų konteinerių aikštelėms įsigijimas Vilniaus mieste</t>
  </si>
  <si>
    <t>20708010101</t>
  </si>
  <si>
    <t>Vilniaus miesto kapinių statinių remontas ir plėtimas</t>
  </si>
  <si>
    <t>20702010601</t>
  </si>
  <si>
    <t>Teritorijos prie Jeruzalės tvenkinio ir Verkių dvaro sodybos tarp Jeruzalės, Mokslininkų, M. Marcinkevičiaus ir Baltupio gatvių Vilniuje, tvarkymas</t>
  </si>
  <si>
    <t>07 programa „Aplinka ir miesto plėtra“</t>
  </si>
  <si>
    <t>20710010501</t>
  </si>
  <si>
    <t>Neries krantinių modernizavimas, sukuriant inovatyvias erdves kūrybai, sąlygas aktyviam poilsiui, sveikatingumo renginiams Šiaurinėje teritorijoje</t>
  </si>
  <si>
    <t>20710011701</t>
  </si>
  <si>
    <t>Vandens tiekimo ir nuotekų tvarkymo infrastruktūros plėtros specialaus plano parengimas</t>
  </si>
  <si>
    <t>20710012101</t>
  </si>
  <si>
    <t>Skvero šalia Tūkstantmečio bei Dariaus ir Girėno gatvių statyba</t>
  </si>
  <si>
    <t>20710012301</t>
  </si>
  <si>
    <t>Šv. Florijono skvero tarp Mortos ir T. Ševčenkos gatvių statyba</t>
  </si>
  <si>
    <t>20708010502</t>
  </si>
  <si>
    <t>Skverų įrengimas ir sutvarkymas Vilniaus mieste</t>
  </si>
  <si>
    <t>20708010503</t>
  </si>
  <si>
    <t>Viešosios erdvės, esančios ties J. Rutkausko g. ir Pilaitės pr., statyba</t>
  </si>
  <si>
    <t>20708010504</t>
  </si>
  <si>
    <t>Skvero ties Pelesos ir Liepkalnio g. įrengimas</t>
  </si>
  <si>
    <t>20708010505</t>
  </si>
  <si>
    <t>Skvero įrengimas Jeruzalėje, abipus Maumedžių g., su prieigomis</t>
  </si>
  <si>
    <t>20708010506</t>
  </si>
  <si>
    <t>Viešosios erdvės ties Žirmūnų g. 111B sutvarkymas</t>
  </si>
  <si>
    <t>20708010507</t>
  </si>
  <si>
    <t>Pašilaičių šiaurinės dalies atgaivinimas, įrengiant viešąją erdvę ties Bendorių g.</t>
  </si>
  <si>
    <t>Žirmūnų šiaurinės dalies atgaivinimas, įrengiant viešąją erdvę šalia Žukausko g.</t>
  </si>
  <si>
    <t>Grigiškių pietinės dalies atgaivinimas, sutvarkant viešąją erdvę ties Afindevičių g.</t>
  </si>
  <si>
    <t>20708010510</t>
  </si>
  <si>
    <t>Naujamiesčio pietinės dalies atgaivinimas, įrengiant viešąją erdvę ties Naugarduko g. 47</t>
  </si>
  <si>
    <t>Karoliniškių vakarinės dalies atgaivinimas, įrengiant viešąją erdvę ties V. Maciulevičiaus g.</t>
  </si>
  <si>
    <t>Pilaitės šiaurinės dalies atgaivinimas, įrengiant viešąją erdvę tarp Karaliaučiaus ir Varnės g.</t>
  </si>
  <si>
    <t>20713010701</t>
  </si>
  <si>
    <t>Žaliojo vandenilio gamyba viešajam transportui Vilniaus mieste</t>
  </si>
  <si>
    <t>20706020101</t>
  </si>
  <si>
    <t>Lopšelio-darželio „Justinukas“ pastato, adresu Taikos g. 99, Vilniuje, atnaujinimas (modernizavimas)</t>
  </si>
  <si>
    <t>20710011901</t>
  </si>
  <si>
    <t>Conect stoties aikštės projektavimas ir įrengimas</t>
  </si>
  <si>
    <t>20710011101</t>
  </si>
  <si>
    <t>Šeškinės komplekso prieigų aplinkos sutvarkymas ir pritaikymas lankymui (Mamutų parkas)</t>
  </si>
  <si>
    <t>20707010201</t>
  </si>
  <si>
    <t>A. Goštauto g. (nuo Balto tilo iki Žaliojo tilto) dviračių ir pėsčiųjų tako įrengimas</t>
  </si>
  <si>
    <t>20707010202</t>
  </si>
  <si>
    <t>Ragučio, Balsių ir Bubilo gatvių dviračių ir pėsčiųjų tako įrengimas</t>
  </si>
  <si>
    <t>07 programa</t>
  </si>
  <si>
    <t>Viską sudėjus</t>
  </si>
  <si>
    <t xml:space="preserve">* - su VIP specialia tiksline dotacija </t>
  </si>
  <si>
    <t xml:space="preserve">**- Iš Savivaldybės biudžeto, Socialinio būsto fondo plėtros, Paramos lėšų socialinės infrastruktūros plėtrai, Europos Sąjungos ir kitos tarptautinės finansinės paramos ir Infrastruktūros plėtros lėšų likučio 2025 m. </t>
  </si>
  <si>
    <t>sausio 1 d.</t>
  </si>
  <si>
    <t>Vilniaus miesto savivaldybės</t>
  </si>
  <si>
    <t>2026 metų investicijų programos</t>
  </si>
  <si>
    <t>priedas</t>
  </si>
  <si>
    <t xml:space="preserve">VILNIAUS MIESTO SAVIVALDYBĖS 2026 M. INVESTICIJŲ PROGRAMOS PASKIRSTYMAS PAGAL PROGRAMAS, PROJEKTUS, NUMATOMAS VEIKLAS IR VYKDYMO TERMINUS </t>
  </si>
  <si>
    <t>Iš viso 2026 m. (tūkst. Eur)</t>
  </si>
  <si>
    <t>Pastabos</t>
  </si>
  <si>
    <t>Terminas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</si>
  <si>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</si>
  <si>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</si>
  <si>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</si>
  <si>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</si>
  <si>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</si>
  <si>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</si>
  <si>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</si>
  <si>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</si>
  <si>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</si>
  <si>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</si>
  <si>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</si>
  <si>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</si>
  <si>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01</t>
  </si>
  <si>
    <t>Projektavimas</t>
  </si>
  <si>
    <t>Statyba ir montavimas</t>
  </si>
  <si>
    <t>Renovacija / rekonstrukcija</t>
  </si>
  <si>
    <t>Renovacija/ rekonstrukcija</t>
  </si>
  <si>
    <t>Vilniaus lopšelio-darželio „Užupiukas“, Filaretų g. 19, Vilniuje,  rekonstravimas</t>
  </si>
  <si>
    <t>Vilniaus „Juventos" gimnazijos, Telšių g. 2, Vilniuje, kapitalinis remontas</t>
  </si>
  <si>
    <t xml:space="preserve">IŠ VISO programai </t>
  </si>
  <si>
    <t xml:space="preserve">Savivaldybės socialinio būsto statyba ir pirkimas, aplinkotvarkos darbai                                                                                                                        </t>
  </si>
  <si>
    <t>02</t>
  </si>
  <si>
    <t>Materialaus ir nematerialaus turto įsigijimas</t>
  </si>
  <si>
    <t>Projektas faktiškai nebe vykdomas, vyksta tik teisminiai ginčai</t>
  </si>
  <si>
    <t>03</t>
  </si>
  <si>
    <t>kita</t>
  </si>
  <si>
    <t>Sporto aikštelių prie mokyklų įrengimas</t>
  </si>
  <si>
    <t>04</t>
  </si>
  <si>
    <t>Projektavimas, Renovacija/rekonstrukcija</t>
  </si>
  <si>
    <t xml:space="preserve">Kita - konservavimo darbai, koncepcijos pasitvirtinimas
</t>
  </si>
  <si>
    <t>Kita; Projektavimas</t>
  </si>
  <si>
    <t>Kita - architektūrinis konkursas</t>
  </si>
  <si>
    <t>Vilniaus miesto susisiekimo infrastruktūros vystymas (priežiūra, remontas, rekonstrukcija)</t>
  </si>
  <si>
    <t>05</t>
  </si>
  <si>
    <t>Renovacija/rekonstrukcija</t>
  </si>
  <si>
    <t>Vilniaus miesto susisiekimo infrastruktūros vystymas (statyba, rekonstrukcija )</t>
  </si>
  <si>
    <t>07</t>
  </si>
  <si>
    <t>Kita</t>
  </si>
  <si>
    <t>20708010511</t>
  </si>
  <si>
    <t>IŠ VISO programai</t>
  </si>
  <si>
    <t>PATVIRTINTA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</si>
  <si>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</si>
  <si>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</si>
  <si>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</si>
  <si>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</si>
  <si>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</si>
  <si>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</si>
  <si>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</si>
  <si>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</si>
  <si>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</si>
  <si>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</si>
  <si>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</si>
  <si>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VILNIAUS MIESTO SAVIVALDYBĖS 2026 METŲ INVESTICIJŲ PROGRAMA</t>
  </si>
  <si>
    <t>potvarkiu Nr.  955-318/26</t>
  </si>
  <si>
    <t>2026 m. kovo  3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</si>
</sst>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yyyy\-mm\-dd;@"/>
    <numFmt numFmtId="166" formatCode="0.0"/>
    <numFmt numFmtId="167" formatCode="#,##0.0;[Red]#,##0.0"/>
  </numFmts>
  <fonts count="37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186"/>
    </font>
    <font>
      <sz val="12"/>
      <name val="Times New Roman Baltic"/>
      <family val="1"/>
      <charset val="186"/>
    </font>
    <font>
      <i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"/>
      <color rgb="FFFF0000"/>
      <name val="Times New Roman"/>
      <family val="1"/>
      <charset val="186"/>
    </font>
    <font>
      <sz val="10"/>
      <color rgb="FF0000FF"/>
      <name val="Times New Roman"/>
      <family val="1"/>
      <charset val="186"/>
    </font>
    <font>
      <b/>
      <sz val="10"/>
      <name val="Times New Roman"/>
      <family val="1"/>
    </font>
    <font>
      <sz val="12"/>
      <color rgb="FFFF0000"/>
      <name val="Times New Roman Baltic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9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164" fontId="3" fillId="0" borderId="7" xfId="3" applyNumberFormat="1" applyFont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164" fontId="17" fillId="3" borderId="7" xfId="3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0" fontId="10" fillId="0" borderId="7" xfId="2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17" fillId="0" borderId="7" xfId="3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4" fontId="3" fillId="3" borderId="7" xfId="3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 shrinkToFit="1"/>
    </xf>
    <xf numFmtId="1" fontId="3" fillId="0" borderId="0" xfId="6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22" fillId="0" borderId="7" xfId="0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23" fillId="0" borderId="0" xfId="0" applyFont="1"/>
    <xf numFmtId="164" fontId="3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" fontId="3" fillId="5" borderId="0" xfId="6" applyNumberFormat="1" applyFont="1" applyFill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164" fontId="11" fillId="5" borderId="7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164" fontId="3" fillId="6" borderId="7" xfId="3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0" fillId="5" borderId="8" xfId="2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164" fontId="29" fillId="4" borderId="7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vertical="top" wrapText="1"/>
    </xf>
    <xf numFmtId="0" fontId="3" fillId="0" borderId="7" xfId="2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164" fontId="31" fillId="0" borderId="7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2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164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164" fontId="32" fillId="4" borderId="7" xfId="0" applyNumberFormat="1" applyFont="1" applyFill="1" applyBorder="1" applyAlignment="1">
      <alignment horizontal="center" vertical="center" wrapText="1"/>
    </xf>
    <xf numFmtId="164" fontId="32" fillId="4" borderId="9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166" fontId="21" fillId="4" borderId="0" xfId="0" applyNumberFormat="1" applyFont="1" applyFill="1" applyAlignment="1">
      <alignment horizontal="center" vertical="center" wrapText="1"/>
    </xf>
    <xf numFmtId="166" fontId="20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4" fontId="31" fillId="4" borderId="7" xfId="0" applyNumberFormat="1" applyFont="1" applyFill="1" applyBorder="1" applyAlignment="1">
      <alignment horizontal="center" vertical="center" wrapText="1"/>
    </xf>
    <xf numFmtId="2" fontId="32" fillId="4" borderId="7" xfId="0" applyNumberFormat="1" applyFont="1" applyFill="1" applyBorder="1" applyAlignment="1">
      <alignment horizontal="center" vertical="center" wrapText="1"/>
    </xf>
    <xf numFmtId="166" fontId="32" fillId="4" borderId="7" xfId="0" applyNumberFormat="1" applyFont="1" applyFill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 wrapText="1"/>
    </xf>
    <xf numFmtId="2" fontId="32" fillId="4" borderId="0" xfId="0" applyNumberFormat="1" applyFont="1" applyFill="1" applyAlignment="1">
      <alignment horizontal="center" vertical="center" wrapText="1"/>
    </xf>
    <xf numFmtId="0" fontId="32" fillId="4" borderId="7" xfId="0" applyFont="1" applyFill="1" applyBorder="1" applyAlignment="1">
      <alignment vertical="center" wrapText="1"/>
    </xf>
    <xf numFmtId="1" fontId="32" fillId="4" borderId="0" xfId="6" applyNumberFormat="1" applyFont="1" applyFill="1" applyAlignment="1">
      <alignment horizontal="center" vertical="center" wrapText="1"/>
    </xf>
    <xf numFmtId="164" fontId="33" fillId="4" borderId="9" xfId="0" applyNumberFormat="1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164" fontId="32" fillId="4" borderId="6" xfId="0" applyNumberFormat="1" applyFont="1" applyFill="1" applyBorder="1" applyAlignment="1">
      <alignment horizontal="center" vertical="center" wrapText="1"/>
    </xf>
    <xf numFmtId="0" fontId="32" fillId="4" borderId="6" xfId="0" applyFont="1" applyFill="1" applyBorder="1"/>
    <xf numFmtId="0" fontId="32" fillId="4" borderId="14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vertical="center" wrapText="1"/>
    </xf>
    <xf numFmtId="0" fontId="32" fillId="4" borderId="6" xfId="0" applyFont="1" applyFill="1" applyBorder="1" applyAlignment="1">
      <alignment horizontal="center" vertical="center" wrapText="1"/>
    </xf>
    <xf numFmtId="167" fontId="32" fillId="4" borderId="6" xfId="0" applyNumberFormat="1" applyFont="1" applyFill="1" applyBorder="1" applyAlignment="1">
      <alignment horizontal="center" vertical="center" wrapText="1"/>
    </xf>
    <xf numFmtId="164" fontId="32" fillId="4" borderId="3" xfId="0" applyNumberFormat="1" applyFont="1" applyFill="1" applyBorder="1" applyAlignment="1">
      <alignment horizontal="center" vertical="center" wrapText="1"/>
    </xf>
    <xf numFmtId="0" fontId="32" fillId="4" borderId="7" xfId="0" applyFont="1" applyFill="1" applyBorder="1"/>
    <xf numFmtId="0" fontId="34" fillId="4" borderId="8" xfId="0" applyFont="1" applyFill="1" applyBorder="1" applyAlignment="1">
      <alignment horizontal="center" vertical="center" wrapText="1" shrinkToFit="1"/>
    </xf>
    <xf numFmtId="0" fontId="34" fillId="4" borderId="7" xfId="0" applyFont="1" applyFill="1" applyBorder="1" applyAlignment="1">
      <alignment horizontal="center" vertical="center" wrapText="1"/>
    </xf>
    <xf numFmtId="164" fontId="34" fillId="4" borderId="7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left" vertical="center" wrapText="1"/>
    </xf>
    <xf numFmtId="1" fontId="31" fillId="4" borderId="2" xfId="0" applyNumberFormat="1" applyFont="1" applyFill="1" applyBorder="1" applyAlignment="1">
      <alignment vertical="center" wrapText="1"/>
    </xf>
    <xf numFmtId="0" fontId="31" fillId="4" borderId="7" xfId="0" applyFont="1" applyFill="1" applyBorder="1" applyAlignment="1">
      <alignment horizontal="center" vertical="center" wrapText="1"/>
    </xf>
    <xf numFmtId="164" fontId="31" fillId="4" borderId="9" xfId="0" applyNumberFormat="1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center" vertical="center" wrapText="1"/>
    </xf>
    <xf numFmtId="1" fontId="31" fillId="4" borderId="0" xfId="6" applyNumberFormat="1" applyFont="1" applyFill="1" applyAlignment="1">
      <alignment horizontal="center" vertical="center" wrapText="1"/>
    </xf>
    <xf numFmtId="164" fontId="35" fillId="4" borderId="7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4" fontId="31" fillId="0" borderId="7" xfId="0" applyNumberFormat="1" applyFont="1" applyBorder="1" applyAlignment="1">
      <alignment horizontal="center" vertical="center" wrapText="1"/>
    </xf>
    <xf numFmtId="164" fontId="31" fillId="0" borderId="9" xfId="0" applyNumberFormat="1" applyFont="1" applyBorder="1" applyAlignment="1">
      <alignment horizontal="center" vertical="center" wrapText="1"/>
    </xf>
    <xf numFmtId="164" fontId="36" fillId="0" borderId="7" xfId="0" applyNumberFormat="1" applyFont="1" applyBorder="1" applyAlignment="1">
      <alignment horizontal="center" vertical="center" wrapText="1"/>
    </xf>
    <xf numFmtId="0" fontId="31" fillId="0" borderId="9" xfId="0" applyFont="1" applyBorder="1"/>
    <xf numFmtId="166" fontId="31" fillId="0" borderId="7" xfId="0" applyNumberFormat="1" applyFont="1" applyBorder="1" applyAlignment="1">
      <alignment horizontal="center" vertical="center" wrapText="1"/>
    </xf>
    <xf numFmtId="49" fontId="32" fillId="4" borderId="8" xfId="0" applyNumberFormat="1" applyFont="1" applyFill="1" applyBorder="1" applyAlignment="1">
      <alignment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3" fontId="32" fillId="4" borderId="9" xfId="0" applyNumberFormat="1" applyFont="1" applyFill="1" applyBorder="1" applyAlignment="1">
      <alignment horizontal="center" vertical="center" wrapText="1"/>
    </xf>
    <xf numFmtId="164" fontId="33" fillId="4" borderId="7" xfId="0" applyNumberFormat="1" applyFont="1" applyFill="1" applyBorder="1" applyAlignment="1">
      <alignment horizontal="center" vertical="center" wrapText="1"/>
    </xf>
    <xf numFmtId="0" fontId="32" fillId="4" borderId="7" xfId="2" applyFont="1" applyFill="1" applyBorder="1" applyAlignment="1">
      <alignment horizontal="left" vertical="center" wrapText="1"/>
    </xf>
    <xf numFmtId="0" fontId="32" fillId="4" borderId="9" xfId="0" applyFont="1" applyFill="1" applyBorder="1"/>
    <xf numFmtId="1" fontId="33" fillId="4" borderId="2" xfId="0" applyNumberFormat="1" applyFont="1" applyFill="1" applyBorder="1" applyAlignment="1">
      <alignment vertical="center" wrapText="1"/>
    </xf>
    <xf numFmtId="4" fontId="32" fillId="4" borderId="7" xfId="0" applyNumberFormat="1" applyFont="1" applyFill="1" applyBorder="1" applyAlignment="1">
      <alignment horizontal="center" vertical="center" wrapText="1"/>
    </xf>
    <xf numFmtId="4" fontId="32" fillId="4" borderId="9" xfId="0" applyNumberFormat="1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/>
    </xf>
    <xf numFmtId="2" fontId="32" fillId="4" borderId="7" xfId="0" applyNumberFormat="1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2" fillId="4" borderId="1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49" fontId="32" fillId="4" borderId="7" xfId="3" applyNumberFormat="1" applyFont="1" applyFill="1" applyBorder="1" applyAlignment="1">
      <alignment horizontal="center" vertical="center" wrapText="1"/>
    </xf>
    <xf numFmtId="49" fontId="32" fillId="4" borderId="8" xfId="3" applyNumberFormat="1" applyFont="1" applyFill="1" applyBorder="1" applyAlignment="1">
      <alignment vertical="center" wrapText="1"/>
    </xf>
    <xf numFmtId="0" fontId="33" fillId="4" borderId="2" xfId="0" applyFont="1" applyFill="1" applyBorder="1" applyAlignment="1">
      <alignment horizontal="left" vertical="center" wrapText="1"/>
    </xf>
    <xf numFmtId="0" fontId="34" fillId="4" borderId="7" xfId="0" applyFont="1" applyFill="1" applyBorder="1" applyAlignment="1">
      <alignment horizontal="center" vertical="center" wrapText="1" shrinkToFit="1"/>
    </xf>
    <xf numFmtId="0" fontId="34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left" vertical="center" wrapText="1"/>
    </xf>
    <xf numFmtId="49" fontId="32" fillId="4" borderId="7" xfId="0" applyNumberFormat="1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2" fillId="4" borderId="8" xfId="0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/>
    <xf numFmtId="164" fontId="11" fillId="4" borderId="7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64" fontId="22" fillId="4" borderId="7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left" vertical="center" wrapText="1"/>
    </xf>
    <xf numFmtId="0" fontId="32" fillId="4" borderId="8" xfId="2" applyFont="1" applyFill="1" applyBorder="1" applyAlignment="1">
      <alignment horizontal="left" vertical="center" wrapText="1"/>
    </xf>
    <xf numFmtId="49" fontId="32" fillId="4" borderId="9" xfId="0" applyNumberFormat="1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right" vertical="center" wrapText="1"/>
    </xf>
    <xf numFmtId="0" fontId="33" fillId="4" borderId="14" xfId="0" applyFont="1" applyFill="1" applyBorder="1" applyAlignment="1">
      <alignment vertical="center" wrapText="1"/>
    </xf>
    <xf numFmtId="0" fontId="33" fillId="4" borderId="16" xfId="0" applyFont="1" applyFill="1" applyBorder="1" applyAlignment="1">
      <alignment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49" fontId="32" fillId="0" borderId="7" xfId="0" applyNumberFormat="1" applyFont="1" applyBorder="1" applyAlignment="1">
      <alignment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right" vertical="center" wrapText="1"/>
    </xf>
    <xf numFmtId="0" fontId="33" fillId="0" borderId="8" xfId="0" applyFont="1" applyBorder="1" applyAlignment="1">
      <alignment vertical="center" wrapText="1"/>
    </xf>
    <xf numFmtId="49" fontId="32" fillId="0" borderId="8" xfId="0" applyNumberFormat="1" applyFont="1" applyBorder="1" applyAlignment="1">
      <alignment vertical="center" wrapText="1"/>
    </xf>
    <xf numFmtId="49" fontId="32" fillId="5" borderId="8" xfId="0" applyNumberFormat="1" applyFont="1" applyFill="1" applyBorder="1" applyAlignment="1">
      <alignment vertical="center" wrapText="1"/>
    </xf>
    <xf numFmtId="49" fontId="32" fillId="5" borderId="7" xfId="0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right" vertical="center" wrapText="1"/>
    </xf>
    <xf numFmtId="0" fontId="33" fillId="5" borderId="8" xfId="0" applyFont="1" applyFill="1" applyBorder="1" applyAlignment="1">
      <alignment vertical="center" wrapText="1"/>
    </xf>
    <xf numFmtId="2" fontId="32" fillId="0" borderId="8" xfId="0" applyNumberFormat="1" applyFont="1" applyBorder="1" applyAlignment="1">
      <alignment horizontal="left" vertical="center" wrapText="1"/>
    </xf>
    <xf numFmtId="0" fontId="33" fillId="0" borderId="18" xfId="0" applyFont="1" applyBorder="1" applyAlignment="1">
      <alignment horizontal="right" vertical="center" wrapText="1"/>
    </xf>
    <xf numFmtId="49" fontId="32" fillId="0" borderId="8" xfId="3" applyNumberFormat="1" applyFont="1" applyBorder="1" applyAlignment="1">
      <alignment vertical="center" wrapText="1"/>
    </xf>
    <xf numFmtId="49" fontId="32" fillId="5" borderId="8" xfId="3" applyNumberFormat="1" applyFont="1" applyFill="1" applyBorder="1" applyAlignment="1">
      <alignment vertical="center" wrapText="1"/>
    </xf>
    <xf numFmtId="0" fontId="32" fillId="0" borderId="7" xfId="0" applyFont="1" applyBorder="1" applyAlignment="1">
      <alignment horizontal="left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3" fillId="5" borderId="18" xfId="0" applyFont="1" applyFill="1" applyBorder="1" applyAlignment="1">
      <alignment horizontal="right" vertical="center" wrapText="1"/>
    </xf>
    <xf numFmtId="0" fontId="32" fillId="0" borderId="8" xfId="2" applyFont="1" applyBorder="1" applyAlignment="1">
      <alignment horizontal="left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0" borderId="6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4" borderId="27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32" fillId="4" borderId="3" xfId="0" applyNumberFormat="1" applyFont="1" applyFill="1" applyBorder="1" applyAlignment="1">
      <alignment horizontal="center" vertical="center" wrapText="1"/>
    </xf>
    <xf numFmtId="1" fontId="32" fillId="4" borderId="6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49" fontId="32" fillId="0" borderId="3" xfId="3" applyNumberFormat="1" applyFont="1" applyBorder="1" applyAlignment="1">
      <alignment horizontal="center" vertical="center" wrapText="1"/>
    </xf>
    <xf numFmtId="49" fontId="32" fillId="0" borderId="6" xfId="3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6" xfId="0" applyNumberFormat="1" applyFont="1" applyBorder="1" applyAlignment="1">
      <alignment horizontal="center" vertical="center" wrapText="1"/>
    </xf>
    <xf numFmtId="49" fontId="32" fillId="0" borderId="7" xfId="3" applyNumberFormat="1" applyFont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1" fontId="32" fillId="5" borderId="3" xfId="0" applyNumberFormat="1" applyFont="1" applyFill="1" applyBorder="1" applyAlignment="1">
      <alignment horizontal="center" vertical="center" wrapText="1"/>
    </xf>
    <xf numFmtId="1" fontId="32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49" fontId="32" fillId="5" borderId="3" xfId="3" applyNumberFormat="1" applyFont="1" applyFill="1" applyBorder="1" applyAlignment="1">
      <alignment horizontal="center" vertical="center" wrapText="1"/>
    </xf>
    <xf numFmtId="49" fontId="32" fillId="5" borderId="6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49" fontId="32" fillId="5" borderId="3" xfId="0" applyNumberFormat="1" applyFont="1" applyFill="1" applyBorder="1" applyAlignment="1">
      <alignment horizontal="center" vertical="center" wrapText="1"/>
    </xf>
    <xf numFmtId="49" fontId="32" fillId="5" borderId="6" xfId="0" applyNumberFormat="1" applyFont="1" applyFill="1" applyBorder="1" applyAlignment="1">
      <alignment horizontal="center" vertical="center" wrapText="1"/>
    </xf>
    <xf numFmtId="0" fontId="32" fillId="5" borderId="27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49" fontId="32" fillId="4" borderId="3" xfId="0" applyNumberFormat="1" applyFont="1" applyFill="1" applyBorder="1" applyAlignment="1">
      <alignment horizontal="center" vertical="center" wrapText="1"/>
    </xf>
    <xf numFmtId="49" fontId="32" fillId="4" borderId="6" xfId="0" applyNumberFormat="1" applyFont="1" applyFill="1" applyBorder="1" applyAlignment="1">
      <alignment horizontal="center" vertical="center" wrapText="1"/>
    </xf>
    <xf numFmtId="49" fontId="32" fillId="4" borderId="27" xfId="0" applyNumberFormat="1" applyFont="1" applyFill="1" applyBorder="1" applyAlignment="1">
      <alignment horizontal="center" vertical="center" wrapText="1"/>
    </xf>
    <xf numFmtId="49" fontId="32" fillId="4" borderId="22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 applyProtection="1">
      <alignment horizontal="center" vertical="center" wrapText="1"/>
      <protection locked="0"/>
    </xf>
    <xf numFmtId="49" fontId="32" fillId="4" borderId="26" xfId="0" applyNumberFormat="1" applyFont="1" applyFill="1" applyBorder="1" applyAlignment="1">
      <alignment horizontal="center" vertical="center" wrapText="1"/>
    </xf>
    <xf numFmtId="49" fontId="32" fillId="4" borderId="14" xfId="0" applyNumberFormat="1" applyFont="1" applyFill="1" applyBorder="1" applyAlignment="1">
      <alignment horizontal="center" vertical="center" wrapText="1"/>
    </xf>
  </cellXfs>
  <cellStyles count="7">
    <cellStyle name="Įprastas" xfId="0" builtinId="0"/>
    <cellStyle name="Įprastas 2" xfId="3" xr:uid="{00000000-0005-0000-0000-000001000000}"/>
    <cellStyle name="Įprastas 2 2" xfId="4" xr:uid="{00000000-0005-0000-0000-000002000000}"/>
    <cellStyle name="Įprastas 3 2 2" xfId="6" xr:uid="{00000000-0005-0000-0000-000003000000}"/>
    <cellStyle name="Normal 3" xfId="5" xr:uid="{00000000-0005-0000-0000-000004000000}"/>
    <cellStyle name="Normal_1234LENT" xfId="1" xr:uid="{00000000-0005-0000-0000-000005000000}"/>
    <cellStyle name="Paprastas_1 priedas-VMIP'0..." xfId="2" xr:uid="{00000000-0005-0000-0000-000006000000}"/>
  </cellStyles>
  <dxfs count="0"/>
  <tableStyles count="0" defaultTableStyle="TableStyleMedium2" defaultPivotStyle="PivotStyleLight16"/>
  <colors>
    <mruColors>
      <color rgb="FFFFFFCC"/>
      <color rgb="FFFFFF99"/>
      <color rgb="FF0000FF"/>
      <color rgb="FFCCFFCC"/>
      <color rgb="FF3333FF"/>
      <color rgb="FFFFFF00"/>
      <color rgb="FF00FF00"/>
      <color rgb="FF99FF99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7451-4DFE-417E-878F-540406639882}">
  <dimension ref="A2:V139"/>
  <sheetViews>
    <sheetView showZeros="0" tabSelected="1" topLeftCell="D1" zoomScaleNormal="100" workbookViewId="0">
      <pane ySplit="3480" topLeftCell="A34"/>
      <selection activeCell="O5" sqref="O5"/>
      <selection pane="bottomLeft" activeCell="W40" sqref="W40"/>
    </sheetView>
  </sheetViews>
  <sheetFormatPr defaultColWidth="9.109375" defaultRowHeight="13.2"/>
  <cols>
    <col min="1" max="1" width="4.44140625" style="1" customWidth="1"/>
    <col min="2" max="2" width="13.5546875" style="1" customWidth="1"/>
    <col min="3" max="3" width="46.109375" style="1" customWidth="1"/>
    <col min="4" max="4" width="13.6640625" style="1" customWidth="1"/>
    <col min="5" max="5" width="6.6640625" style="2" customWidth="1"/>
    <col min="6" max="6" width="7.44140625" style="2" customWidth="1"/>
    <col min="7" max="7" width="11.33203125" style="3" customWidth="1"/>
    <col min="8" max="8" width="9.5546875" style="3" customWidth="1"/>
    <col min="9" max="9" width="10.109375" style="4" customWidth="1"/>
    <col min="10" max="10" width="11.33203125" style="4" customWidth="1"/>
    <col min="11" max="11" width="9.88671875" style="4" customWidth="1"/>
    <col min="12" max="12" width="10" style="4" customWidth="1"/>
    <col min="13" max="13" width="9.109375" style="4"/>
    <col min="14" max="14" width="9.33203125" style="4" customWidth="1"/>
    <col min="15" max="15" width="10.5546875" style="4" customWidth="1"/>
    <col min="16" max="16" width="10" style="4" customWidth="1"/>
    <col min="17" max="17" width="9.6640625" style="4" customWidth="1"/>
    <col min="18" max="19" width="10.33203125" style="4" customWidth="1"/>
    <col min="20" max="16384" width="9.109375" style="4"/>
  </cols>
  <sheetData>
    <row r="2" spans="1:20">
      <c r="O2" s="4" t="s">
        <v>312</v>
      </c>
    </row>
    <row r="3" spans="1:20" ht="15.6">
      <c r="O3" s="61" t="s">
        <v>0</v>
      </c>
    </row>
    <row r="4" spans="1:20" ht="15.6">
      <c r="O4" s="61" t="s">
        <v>326</v>
      </c>
    </row>
    <row r="5" spans="1:20" ht="15.6">
      <c r="O5" s="61" t="s">
        <v>325</v>
      </c>
    </row>
    <row r="7" spans="1:20" ht="14.25" customHeight="1">
      <c r="A7" s="287" t="s">
        <v>324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95"/>
    </row>
    <row r="8" spans="1:20" ht="13.8" thickBot="1">
      <c r="A8" s="5"/>
      <c r="B8" s="5"/>
      <c r="C8" s="6"/>
      <c r="D8" s="15"/>
      <c r="E8" s="15"/>
      <c r="F8" s="15"/>
      <c r="G8" s="15"/>
      <c r="H8" s="15"/>
      <c r="Q8" s="4" t="s">
        <v>1</v>
      </c>
    </row>
    <row r="9" spans="1:20" s="1" customFormat="1" ht="26.25" customHeight="1">
      <c r="A9" s="293" t="s">
        <v>2</v>
      </c>
      <c r="B9" s="295" t="s">
        <v>3</v>
      </c>
      <c r="C9" s="295" t="s">
        <v>4</v>
      </c>
      <c r="D9" s="295" t="s">
        <v>5</v>
      </c>
      <c r="E9" s="297" t="s">
        <v>6</v>
      </c>
      <c r="F9" s="298"/>
      <c r="G9" s="299" t="s">
        <v>7</v>
      </c>
      <c r="H9" s="299" t="s">
        <v>8</v>
      </c>
      <c r="I9" s="291" t="s">
        <v>9</v>
      </c>
      <c r="J9" s="20" t="s">
        <v>10</v>
      </c>
      <c r="K9" s="21"/>
      <c r="L9" s="21"/>
      <c r="M9" s="21"/>
      <c r="N9" s="21"/>
      <c r="O9" s="21"/>
      <c r="P9" s="21"/>
      <c r="Q9" s="21"/>
      <c r="R9" s="27"/>
      <c r="S9" s="96"/>
    </row>
    <row r="10" spans="1:20" s="1" customFormat="1" ht="93.75" customHeight="1" thickBot="1">
      <c r="A10" s="294"/>
      <c r="B10" s="296"/>
      <c r="C10" s="296"/>
      <c r="D10" s="296"/>
      <c r="E10" s="18" t="s">
        <v>11</v>
      </c>
      <c r="F10" s="18" t="s">
        <v>12</v>
      </c>
      <c r="G10" s="300"/>
      <c r="H10" s="300"/>
      <c r="I10" s="292"/>
      <c r="J10" s="30" t="s">
        <v>13</v>
      </c>
      <c r="K10" s="30" t="s">
        <v>14</v>
      </c>
      <c r="L10" s="1" t="s">
        <v>15</v>
      </c>
      <c r="M10" s="30" t="s">
        <v>16</v>
      </c>
      <c r="N10" s="19" t="s">
        <v>17</v>
      </c>
      <c r="O10" s="19" t="s">
        <v>18</v>
      </c>
      <c r="P10" s="23" t="s">
        <v>19</v>
      </c>
      <c r="Q10" s="23" t="s">
        <v>20</v>
      </c>
      <c r="R10" s="30" t="s">
        <v>21</v>
      </c>
      <c r="S10" s="97"/>
      <c r="T10" s="97"/>
    </row>
    <row r="11" spans="1:20" s="8" customFormat="1" ht="15.75" customHeight="1" thickBot="1">
      <c r="A11" s="76"/>
      <c r="B11" s="7" t="s">
        <v>22</v>
      </c>
      <c r="C11" s="7" t="s">
        <v>23</v>
      </c>
      <c r="D11" s="7" t="s">
        <v>24</v>
      </c>
      <c r="E11" s="7">
        <v>1</v>
      </c>
      <c r="F11" s="7">
        <v>2</v>
      </c>
      <c r="G11" s="7">
        <v>3</v>
      </c>
      <c r="H11" s="25">
        <v>4</v>
      </c>
      <c r="I11" s="7">
        <v>5</v>
      </c>
      <c r="J11" s="7">
        <v>6</v>
      </c>
      <c r="K11" s="7">
        <v>7</v>
      </c>
      <c r="L11" s="7">
        <v>8</v>
      </c>
      <c r="M11" s="7">
        <v>9</v>
      </c>
      <c r="N11" s="7">
        <v>10</v>
      </c>
      <c r="O11" s="7">
        <v>11</v>
      </c>
      <c r="P11" s="25">
        <v>12</v>
      </c>
      <c r="Q11" s="25">
        <v>13</v>
      </c>
      <c r="R11" s="7">
        <v>14</v>
      </c>
    </row>
    <row r="12" spans="1:20" s="8" customFormat="1" ht="46.5" hidden="1" customHeight="1">
      <c r="A12" s="123">
        <v>1</v>
      </c>
      <c r="B12" s="33" t="s">
        <v>25</v>
      </c>
      <c r="C12" s="119" t="s">
        <v>26</v>
      </c>
      <c r="D12" s="120"/>
      <c r="E12" s="31">
        <v>2018</v>
      </c>
      <c r="F12" s="90">
        <v>2025</v>
      </c>
      <c r="G12" s="10">
        <f>105.5+542.7+16.3+1155.5+479.8+338.9-230.4+70+45+5.8+321.3+200</f>
        <v>3050.4000000000005</v>
      </c>
      <c r="H12" s="63">
        <f>49.6+969.7+465.8+64.7+656.2+463.6+138</f>
        <v>2807.6</v>
      </c>
      <c r="I12" s="118">
        <f t="shared" ref="I12:I51" si="0">SUM(J12:R12)</f>
        <v>0</v>
      </c>
      <c r="J12" s="86"/>
      <c r="K12" s="86"/>
      <c r="L12" s="86"/>
      <c r="M12" s="86"/>
      <c r="N12" s="86"/>
      <c r="O12" s="86"/>
      <c r="P12" s="87"/>
      <c r="Q12" s="87"/>
      <c r="R12" s="89"/>
    </row>
    <row r="13" spans="1:20" s="8" customFormat="1" ht="46.5" hidden="1" customHeight="1">
      <c r="A13" s="124">
        <v>2</v>
      </c>
      <c r="B13" s="33" t="s">
        <v>27</v>
      </c>
      <c r="C13" s="121" t="s">
        <v>28</v>
      </c>
      <c r="D13" s="120"/>
      <c r="E13" s="31">
        <v>2018</v>
      </c>
      <c r="F13" s="31">
        <v>2025</v>
      </c>
      <c r="G13" s="10">
        <f>360.8+3.8+30.9+7.9+6.2</f>
        <v>409.59999999999997</v>
      </c>
      <c r="H13" s="10">
        <f>139.4+52.9+9+113.8+49.1+9.1+6.1</f>
        <v>379.40000000000009</v>
      </c>
      <c r="I13" s="118">
        <f t="shared" si="0"/>
        <v>0</v>
      </c>
      <c r="J13" s="28"/>
      <c r="K13" s="28"/>
      <c r="L13" s="28"/>
      <c r="M13" s="28"/>
      <c r="N13" s="28"/>
      <c r="O13" s="28"/>
      <c r="P13" s="28"/>
      <c r="Q13" s="28"/>
      <c r="R13" s="31"/>
    </row>
    <row r="14" spans="1:20" s="8" customFormat="1" ht="30" hidden="1" customHeight="1">
      <c r="A14" s="124">
        <v>3</v>
      </c>
      <c r="B14" s="33" t="s">
        <v>29</v>
      </c>
      <c r="C14" s="119" t="s">
        <v>30</v>
      </c>
      <c r="D14" s="122"/>
      <c r="E14" s="31">
        <v>2021</v>
      </c>
      <c r="F14" s="31">
        <v>2025</v>
      </c>
      <c r="G14" s="10">
        <f>75+7.1+4.1+100+2.7+19.1</f>
        <v>207.99999999999997</v>
      </c>
      <c r="H14" s="10">
        <f>32.3+13.2+68.7+62.4</f>
        <v>176.6</v>
      </c>
      <c r="I14" s="118">
        <f t="shared" si="0"/>
        <v>0</v>
      </c>
      <c r="J14" s="84"/>
      <c r="K14" s="84"/>
      <c r="L14" s="84"/>
      <c r="M14" s="84"/>
      <c r="N14" s="84"/>
      <c r="O14" s="84"/>
      <c r="P14" s="85"/>
      <c r="Q14" s="85"/>
      <c r="R14" s="29"/>
    </row>
    <row r="15" spans="1:20" s="1" customFormat="1" ht="27" customHeight="1">
      <c r="A15" s="262">
        <v>1</v>
      </c>
      <c r="B15" s="33" t="s">
        <v>31</v>
      </c>
      <c r="C15" s="172" t="s">
        <v>32</v>
      </c>
      <c r="D15" s="173"/>
      <c r="E15" s="174">
        <v>2019</v>
      </c>
      <c r="F15" s="174">
        <v>2026</v>
      </c>
      <c r="G15" s="175">
        <f>5044.2+2090+1972.8+3806.7</f>
        <v>12913.7</v>
      </c>
      <c r="H15" s="176">
        <f>7.6+16.7+133.2+335.4+2034.1</f>
        <v>2527</v>
      </c>
      <c r="I15" s="175">
        <f>SUM(J15:R15)</f>
        <v>10386.700000000001</v>
      </c>
      <c r="J15" s="160">
        <v>5339</v>
      </c>
      <c r="K15" s="10"/>
      <c r="L15" s="31"/>
      <c r="M15" s="31"/>
      <c r="N15" s="10">
        <v>5047.7</v>
      </c>
      <c r="O15" s="31"/>
      <c r="P15" s="31"/>
      <c r="Q15" s="31"/>
      <c r="R15" s="31"/>
      <c r="S15" s="98"/>
      <c r="T15" s="99"/>
    </row>
    <row r="16" spans="1:20" s="1" customFormat="1" ht="28.5" customHeight="1">
      <c r="A16" s="262">
        <v>2</v>
      </c>
      <c r="B16" s="33" t="s">
        <v>33</v>
      </c>
      <c r="C16" s="172" t="s">
        <v>34</v>
      </c>
      <c r="D16" s="177" t="s">
        <v>35</v>
      </c>
      <c r="E16" s="174">
        <v>2012</v>
      </c>
      <c r="F16" s="174">
        <v>2035</v>
      </c>
      <c r="G16" s="175">
        <v>41913.4</v>
      </c>
      <c r="H16" s="176">
        <f>3662.5+2372.6+1775+1775.1+1775+1775+1775.1+1775.1+1775+1775.1+1775+1775</f>
        <v>23785.5</v>
      </c>
      <c r="I16" s="175">
        <f t="shared" si="0"/>
        <v>1775.1</v>
      </c>
      <c r="J16" s="160">
        <f>1775.1</f>
        <v>1775.1</v>
      </c>
      <c r="K16" s="10"/>
      <c r="L16" s="31"/>
      <c r="M16" s="31"/>
      <c r="N16" s="31"/>
      <c r="O16" s="31"/>
      <c r="P16" s="31"/>
      <c r="Q16" s="31"/>
      <c r="R16" s="31"/>
      <c r="S16" s="100"/>
      <c r="T16" s="99"/>
    </row>
    <row r="17" spans="1:20" s="1" customFormat="1" ht="29.25" hidden="1" customHeight="1">
      <c r="A17" s="262">
        <v>6</v>
      </c>
      <c r="B17" s="33" t="s">
        <v>36</v>
      </c>
      <c r="C17" s="172" t="s">
        <v>37</v>
      </c>
      <c r="D17" s="173" t="s">
        <v>38</v>
      </c>
      <c r="E17" s="174">
        <v>2021</v>
      </c>
      <c r="F17" s="178">
        <v>2027</v>
      </c>
      <c r="G17" s="175">
        <f>170+6830+5427</f>
        <v>12427</v>
      </c>
      <c r="H17" s="175">
        <f>28.7+34.1+203.4+371.5</f>
        <v>637.70000000000005</v>
      </c>
      <c r="I17" s="175">
        <f t="shared" si="0"/>
        <v>0</v>
      </c>
      <c r="J17" s="161">
        <f>27.4-27.4</f>
        <v>0</v>
      </c>
      <c r="K17" s="10"/>
      <c r="L17" s="31"/>
      <c r="M17" s="31"/>
      <c r="N17" s="10"/>
      <c r="O17" s="31"/>
      <c r="P17" s="31"/>
      <c r="Q17" s="10">
        <f>1597.7-1597.7</f>
        <v>0</v>
      </c>
      <c r="R17" s="10"/>
      <c r="S17" s="101"/>
      <c r="T17" s="99"/>
    </row>
    <row r="18" spans="1:20" s="1" customFormat="1" ht="28.5" customHeight="1">
      <c r="A18" s="262">
        <v>3</v>
      </c>
      <c r="B18" s="33" t="s">
        <v>39</v>
      </c>
      <c r="C18" s="172" t="s">
        <v>40</v>
      </c>
      <c r="D18" s="173" t="s">
        <v>38</v>
      </c>
      <c r="E18" s="174">
        <v>2021</v>
      </c>
      <c r="F18" s="174">
        <v>2027</v>
      </c>
      <c r="G18" s="175">
        <f>190+6810+19902.6</f>
        <v>26902.6</v>
      </c>
      <c r="H18" s="175">
        <f>1730.5+329.7+74.7+748.8</f>
        <v>2883.7</v>
      </c>
      <c r="I18" s="175">
        <f t="shared" si="0"/>
        <v>97.9</v>
      </c>
      <c r="J18" s="162"/>
      <c r="K18" s="10"/>
      <c r="L18" s="31"/>
      <c r="M18" s="31"/>
      <c r="N18" s="157">
        <f>25.9+72</f>
        <v>97.9</v>
      </c>
      <c r="O18" s="31"/>
      <c r="P18" s="31"/>
      <c r="Q18" s="31"/>
      <c r="R18" s="10"/>
      <c r="S18" s="101"/>
      <c r="T18" s="99"/>
    </row>
    <row r="19" spans="1:20" s="1" customFormat="1" ht="33.75" hidden="1" customHeight="1">
      <c r="A19" s="262">
        <v>5.5</v>
      </c>
      <c r="B19" s="33" t="s">
        <v>41</v>
      </c>
      <c r="C19" s="172" t="s">
        <v>42</v>
      </c>
      <c r="D19" s="173" t="s">
        <v>38</v>
      </c>
      <c r="E19" s="174">
        <v>2021</v>
      </c>
      <c r="F19" s="174">
        <v>2026</v>
      </c>
      <c r="G19" s="175">
        <f>170+5860+6288</f>
        <v>12318</v>
      </c>
      <c r="H19" s="175">
        <f>28.7+78+1900+8782.7+316.8</f>
        <v>11106.2</v>
      </c>
      <c r="I19" s="175">
        <f t="shared" si="0"/>
        <v>0</v>
      </c>
      <c r="J19" s="160"/>
      <c r="K19" s="10"/>
      <c r="L19" s="31"/>
      <c r="M19" s="31"/>
      <c r="N19" s="10"/>
      <c r="O19" s="31"/>
      <c r="P19" s="31"/>
      <c r="Q19" s="31"/>
      <c r="R19" s="31"/>
      <c r="S19" s="102"/>
      <c r="T19" s="3"/>
    </row>
    <row r="20" spans="1:20" s="1" customFormat="1" ht="33" customHeight="1">
      <c r="A20" s="262">
        <v>4</v>
      </c>
      <c r="B20" s="33" t="s">
        <v>43</v>
      </c>
      <c r="C20" s="172" t="s">
        <v>44</v>
      </c>
      <c r="D20" s="173"/>
      <c r="E20" s="174">
        <v>2021</v>
      </c>
      <c r="F20" s="174">
        <v>2026</v>
      </c>
      <c r="G20" s="175">
        <v>8000</v>
      </c>
      <c r="H20" s="175"/>
      <c r="I20" s="175">
        <f t="shared" si="0"/>
        <v>5.4</v>
      </c>
      <c r="J20" s="160"/>
      <c r="K20" s="10"/>
      <c r="L20" s="31"/>
      <c r="M20" s="31"/>
      <c r="N20" s="10">
        <v>5.4</v>
      </c>
      <c r="O20" s="31"/>
      <c r="P20" s="31"/>
      <c r="Q20" s="31"/>
      <c r="R20" s="31"/>
      <c r="S20" s="99"/>
      <c r="T20" s="3"/>
    </row>
    <row r="21" spans="1:20" s="1" customFormat="1" ht="27.75" customHeight="1">
      <c r="A21" s="262">
        <v>5</v>
      </c>
      <c r="B21" s="33" t="s">
        <v>45</v>
      </c>
      <c r="C21" s="172" t="s">
        <v>46</v>
      </c>
      <c r="D21" s="173"/>
      <c r="E21" s="174">
        <v>2021</v>
      </c>
      <c r="F21" s="178">
        <v>2027</v>
      </c>
      <c r="G21" s="175">
        <f>10000+14811</f>
        <v>24811</v>
      </c>
      <c r="H21" s="175">
        <f>0.6+55.9+241+72.2+46.5</f>
        <v>416.2</v>
      </c>
      <c r="I21" s="175">
        <f t="shared" si="0"/>
        <v>925.8</v>
      </c>
      <c r="J21" s="163"/>
      <c r="K21" s="10"/>
      <c r="L21" s="31"/>
      <c r="M21" s="31"/>
      <c r="N21" s="10">
        <v>925.8</v>
      </c>
      <c r="O21" s="31"/>
      <c r="P21" s="31"/>
      <c r="Q21" s="31"/>
      <c r="R21" s="31"/>
      <c r="S21" s="102"/>
      <c r="T21" s="3"/>
    </row>
    <row r="22" spans="1:20" s="1" customFormat="1" ht="27.75" hidden="1" customHeight="1">
      <c r="A22" s="262">
        <v>8.5</v>
      </c>
      <c r="B22" s="33" t="s">
        <v>47</v>
      </c>
      <c r="C22" s="119" t="s">
        <v>48</v>
      </c>
      <c r="D22" s="122"/>
      <c r="E22" s="31">
        <v>2018</v>
      </c>
      <c r="F22" s="31">
        <v>2025</v>
      </c>
      <c r="G22" s="10">
        <v>5000</v>
      </c>
      <c r="H22" s="10">
        <f>33.6+170.8+2186.9+1251.8</f>
        <v>3643.1000000000004</v>
      </c>
      <c r="I22" s="118">
        <f t="shared" si="0"/>
        <v>0</v>
      </c>
      <c r="J22" s="160"/>
      <c r="K22" s="10"/>
      <c r="L22" s="31"/>
      <c r="M22" s="13"/>
      <c r="N22" s="10"/>
      <c r="O22" s="31"/>
      <c r="P22" s="31"/>
      <c r="Q22" s="31"/>
      <c r="R22" s="31"/>
      <c r="S22" s="102"/>
      <c r="T22" s="3"/>
    </row>
    <row r="23" spans="1:20" s="1" customFormat="1" ht="35.25" customHeight="1">
      <c r="A23" s="262">
        <v>6</v>
      </c>
      <c r="B23" s="33" t="s">
        <v>49</v>
      </c>
      <c r="C23" s="9" t="s">
        <v>50</v>
      </c>
      <c r="D23" s="158"/>
      <c r="E23" s="174">
        <v>2019</v>
      </c>
      <c r="F23" s="174">
        <v>2026</v>
      </c>
      <c r="G23" s="175">
        <v>4500</v>
      </c>
      <c r="H23" s="175">
        <f>6+117.8+1191.2+1238.5</f>
        <v>2553.5</v>
      </c>
      <c r="I23" s="175">
        <f t="shared" si="0"/>
        <v>26.5</v>
      </c>
      <c r="J23" s="183"/>
      <c r="K23" s="175"/>
      <c r="L23" s="174"/>
      <c r="M23" s="184"/>
      <c r="N23" s="175">
        <v>26.5</v>
      </c>
      <c r="O23" s="174"/>
      <c r="P23" s="174"/>
      <c r="Q23" s="10"/>
      <c r="R23" s="31"/>
      <c r="S23" s="179"/>
      <c r="T23" s="3"/>
    </row>
    <row r="24" spans="1:20" s="1" customFormat="1" ht="27.75" customHeight="1">
      <c r="A24" s="262">
        <v>7</v>
      </c>
      <c r="B24" s="33" t="s">
        <v>51</v>
      </c>
      <c r="C24" s="9" t="s">
        <v>52</v>
      </c>
      <c r="E24" s="174">
        <v>2020</v>
      </c>
      <c r="F24" s="178">
        <v>2027</v>
      </c>
      <c r="G24" s="175">
        <v>12000</v>
      </c>
      <c r="H24" s="175">
        <f>28.5+38.4+153.7+47.9</f>
        <v>268.5</v>
      </c>
      <c r="I24" s="175">
        <f t="shared" si="0"/>
        <v>165.60000000000002</v>
      </c>
      <c r="J24" s="183"/>
      <c r="K24" s="175"/>
      <c r="L24" s="174"/>
      <c r="M24" s="184"/>
      <c r="N24" s="175">
        <v>165.60000000000002</v>
      </c>
      <c r="O24" s="174"/>
      <c r="P24" s="174"/>
      <c r="Q24" s="31"/>
      <c r="R24" s="31"/>
      <c r="S24" s="180"/>
      <c r="T24" s="3"/>
    </row>
    <row r="25" spans="1:20" s="1" customFormat="1" ht="27.75" customHeight="1">
      <c r="A25" s="262">
        <v>8</v>
      </c>
      <c r="B25" s="33" t="s">
        <v>53</v>
      </c>
      <c r="C25" s="9" t="s">
        <v>54</v>
      </c>
      <c r="E25" s="174">
        <v>2022</v>
      </c>
      <c r="F25" s="178">
        <v>2027</v>
      </c>
      <c r="G25" s="175">
        <f>10018-848.4</f>
        <v>9169.6</v>
      </c>
      <c r="H25" s="175">
        <f>8.6+98.7+123.9+35.6</f>
        <v>266.8</v>
      </c>
      <c r="I25" s="175">
        <f t="shared" si="0"/>
        <v>26.5</v>
      </c>
      <c r="J25" s="183"/>
      <c r="K25" s="175"/>
      <c r="L25" s="174"/>
      <c r="M25" s="184"/>
      <c r="N25" s="175">
        <v>26.5</v>
      </c>
      <c r="O25" s="174"/>
      <c r="P25" s="174"/>
      <c r="Q25" s="31"/>
      <c r="R25" s="31"/>
      <c r="S25" s="158"/>
      <c r="T25" s="3"/>
    </row>
    <row r="26" spans="1:20" s="1" customFormat="1" ht="27.75" customHeight="1">
      <c r="A26" s="262">
        <v>9</v>
      </c>
      <c r="B26" s="33" t="s">
        <v>55</v>
      </c>
      <c r="C26" s="9" t="s">
        <v>56</v>
      </c>
      <c r="E26" s="174">
        <v>2021</v>
      </c>
      <c r="F26" s="174">
        <v>2026</v>
      </c>
      <c r="G26" s="175">
        <v>19044</v>
      </c>
      <c r="H26" s="175">
        <f>6+325.6+378.1+484</f>
        <v>1193.7</v>
      </c>
      <c r="I26" s="175">
        <f t="shared" si="0"/>
        <v>97.4</v>
      </c>
      <c r="J26" s="183"/>
      <c r="K26" s="175"/>
      <c r="L26" s="174"/>
      <c r="M26" s="184"/>
      <c r="N26" s="175">
        <v>97.4</v>
      </c>
      <c r="O26" s="174"/>
      <c r="P26" s="174"/>
      <c r="Q26" s="31"/>
      <c r="R26" s="31"/>
      <c r="S26" s="158"/>
      <c r="T26" s="3"/>
    </row>
    <row r="27" spans="1:20" s="1" customFormat="1" ht="27.75" hidden="1" customHeight="1">
      <c r="A27" s="262">
        <v>13.5</v>
      </c>
      <c r="B27" s="33" t="s">
        <v>57</v>
      </c>
      <c r="C27" s="119" t="s">
        <v>58</v>
      </c>
      <c r="E27" s="174">
        <v>2021</v>
      </c>
      <c r="F27" s="178">
        <v>2027</v>
      </c>
      <c r="G27" s="175">
        <f>182.1+9765.4+42.7</f>
        <v>9990.2000000000007</v>
      </c>
      <c r="H27" s="175">
        <f>27.3+108.7+104.2</f>
        <v>240.2</v>
      </c>
      <c r="I27" s="175">
        <f t="shared" si="0"/>
        <v>0</v>
      </c>
      <c r="J27" s="183">
        <f>93-93</f>
        <v>0</v>
      </c>
      <c r="K27" s="175"/>
      <c r="L27" s="174"/>
      <c r="M27" s="184"/>
      <c r="N27" s="175"/>
      <c r="O27" s="174"/>
      <c r="P27" s="174"/>
      <c r="Q27" s="31"/>
      <c r="R27" s="31"/>
      <c r="S27" s="158"/>
    </row>
    <row r="28" spans="1:20" s="1" customFormat="1" ht="30.75" customHeight="1">
      <c r="A28" s="262">
        <v>10</v>
      </c>
      <c r="B28" s="33" t="s">
        <v>59</v>
      </c>
      <c r="C28" s="9" t="s">
        <v>60</v>
      </c>
      <c r="E28" s="174">
        <v>2021</v>
      </c>
      <c r="F28" s="174">
        <v>2027</v>
      </c>
      <c r="G28" s="175">
        <f>92.2+5387.9+719.9</f>
        <v>6199.9999999999991</v>
      </c>
      <c r="H28" s="175">
        <f>64.6+241+204</f>
        <v>509.6</v>
      </c>
      <c r="I28" s="175">
        <f>SUM(K28:R28)</f>
        <v>105.2</v>
      </c>
      <c r="J28" s="183"/>
      <c r="K28" s="175"/>
      <c r="L28" s="174"/>
      <c r="M28" s="184"/>
      <c r="N28" s="175">
        <f>198.4-93.2</f>
        <v>105.2</v>
      </c>
      <c r="O28" s="174"/>
      <c r="P28" s="174"/>
      <c r="Q28" s="31"/>
      <c r="R28" s="31"/>
      <c r="S28" s="158"/>
      <c r="T28" s="3"/>
    </row>
    <row r="29" spans="1:20" s="1" customFormat="1" ht="27.75" hidden="1" customHeight="1">
      <c r="A29" s="262">
        <v>15.5</v>
      </c>
      <c r="B29" s="33" t="s">
        <v>61</v>
      </c>
      <c r="C29" s="119" t="s">
        <v>62</v>
      </c>
      <c r="E29" s="174">
        <v>2021</v>
      </c>
      <c r="F29" s="174">
        <v>2027</v>
      </c>
      <c r="G29" s="175">
        <f>89.8+4364.2+646</f>
        <v>5100</v>
      </c>
      <c r="H29" s="175">
        <f>71.1+220+278.6</f>
        <v>569.70000000000005</v>
      </c>
      <c r="I29" s="175">
        <f>SUM(K29:R29)</f>
        <v>0</v>
      </c>
      <c r="J29" s="183">
        <f>170.2-170.2</f>
        <v>0</v>
      </c>
      <c r="K29" s="175"/>
      <c r="L29" s="174"/>
      <c r="M29" s="184"/>
      <c r="N29" s="173"/>
      <c r="O29" s="174"/>
      <c r="P29" s="174"/>
      <c r="Q29" s="31"/>
      <c r="R29" s="31"/>
      <c r="S29" s="158"/>
      <c r="T29" s="3"/>
    </row>
    <row r="30" spans="1:20" s="1" customFormat="1" ht="27.75" customHeight="1">
      <c r="A30" s="262">
        <v>11</v>
      </c>
      <c r="B30" s="185" t="s">
        <v>63</v>
      </c>
      <c r="C30" s="172" t="s">
        <v>64</v>
      </c>
      <c r="D30" s="173"/>
      <c r="E30" s="174">
        <v>2022</v>
      </c>
      <c r="F30" s="178">
        <v>2027</v>
      </c>
      <c r="G30" s="175">
        <f>40+7075.4+284.6</f>
        <v>7400</v>
      </c>
      <c r="H30" s="175">
        <f>48.4+258.5+197.8</f>
        <v>504.7</v>
      </c>
      <c r="I30" s="175">
        <f>SUM(K30:R30)</f>
        <v>102.39999999999999</v>
      </c>
      <c r="J30" s="183"/>
      <c r="K30" s="175"/>
      <c r="L30" s="174"/>
      <c r="M30" s="184"/>
      <c r="N30" s="175">
        <f>196.7-94.3</f>
        <v>102.39999999999999</v>
      </c>
      <c r="O30" s="174"/>
      <c r="P30" s="174"/>
      <c r="Q30" s="31"/>
      <c r="R30" s="31"/>
      <c r="S30" s="180"/>
      <c r="T30" s="3"/>
    </row>
    <row r="31" spans="1:20" s="1" customFormat="1" ht="27.75" customHeight="1">
      <c r="A31" s="262">
        <v>12</v>
      </c>
      <c r="B31" s="185" t="s">
        <v>65</v>
      </c>
      <c r="C31" s="172" t="s">
        <v>66</v>
      </c>
      <c r="D31" s="173"/>
      <c r="E31" s="174">
        <v>2022</v>
      </c>
      <c r="F31" s="174">
        <v>2026</v>
      </c>
      <c r="G31" s="175">
        <f>40+6916.8+243.2</f>
        <v>7200</v>
      </c>
      <c r="H31" s="175">
        <f>48+290.7+226.7</f>
        <v>565.4</v>
      </c>
      <c r="I31" s="175">
        <f>SUM(K31:R31)</f>
        <v>122.19999999999999</v>
      </c>
      <c r="J31" s="183"/>
      <c r="K31" s="175"/>
      <c r="L31" s="174"/>
      <c r="M31" s="184"/>
      <c r="N31" s="175">
        <f>321.9-199.7</f>
        <v>122.19999999999999</v>
      </c>
      <c r="O31" s="174"/>
      <c r="P31" s="174"/>
      <c r="Q31" s="31"/>
      <c r="R31" s="31"/>
      <c r="S31" s="180"/>
      <c r="T31" s="3"/>
    </row>
    <row r="32" spans="1:20" s="1" customFormat="1" ht="25.5" hidden="1" customHeight="1">
      <c r="A32" s="262">
        <v>18.5</v>
      </c>
      <c r="B32" s="185" t="s">
        <v>67</v>
      </c>
      <c r="C32" s="172" t="s">
        <v>68</v>
      </c>
      <c r="D32" s="173"/>
      <c r="E32" s="174">
        <v>2022</v>
      </c>
      <c r="F32" s="174">
        <v>2025</v>
      </c>
      <c r="G32" s="175">
        <f>1500+477</f>
        <v>1977</v>
      </c>
      <c r="H32" s="175">
        <f>61.4+97.9</f>
        <v>159.30000000000001</v>
      </c>
      <c r="I32" s="175">
        <f t="shared" si="0"/>
        <v>0</v>
      </c>
      <c r="J32" s="183"/>
      <c r="K32" s="175"/>
      <c r="L32" s="174"/>
      <c r="M32" s="184"/>
      <c r="N32" s="175">
        <f>48.9-48.9</f>
        <v>0</v>
      </c>
      <c r="O32" s="174"/>
      <c r="P32" s="31"/>
      <c r="Q32" s="31"/>
      <c r="R32" s="31"/>
      <c r="S32" s="181"/>
      <c r="T32" s="4"/>
    </row>
    <row r="33" spans="1:20" s="1" customFormat="1" ht="27.75" customHeight="1">
      <c r="A33" s="262">
        <v>13</v>
      </c>
      <c r="B33" s="185" t="s">
        <v>69</v>
      </c>
      <c r="C33" s="172" t="s">
        <v>70</v>
      </c>
      <c r="D33" s="173"/>
      <c r="E33" s="174">
        <v>2022</v>
      </c>
      <c r="F33" s="174">
        <v>2026</v>
      </c>
      <c r="G33" s="175">
        <f>1771-62.9+1265.7</f>
        <v>2973.8</v>
      </c>
      <c r="H33" s="175">
        <f>49.8+36.7+381.2</f>
        <v>467.7</v>
      </c>
      <c r="I33" s="175">
        <f t="shared" si="0"/>
        <v>2330.3000000000002</v>
      </c>
      <c r="J33" s="183">
        <f>2281.9+48.4</f>
        <v>2330.3000000000002</v>
      </c>
      <c r="K33" s="175"/>
      <c r="L33" s="174"/>
      <c r="M33" s="184"/>
      <c r="N33" s="175"/>
      <c r="O33" s="174"/>
      <c r="P33" s="31"/>
      <c r="Q33" s="31"/>
      <c r="R33" s="31"/>
      <c r="S33" s="181"/>
    </row>
    <row r="34" spans="1:20" s="1" customFormat="1" ht="40.5" customHeight="1">
      <c r="A34" s="262">
        <v>14</v>
      </c>
      <c r="B34" s="185" t="s">
        <v>71</v>
      </c>
      <c r="C34" s="172" t="s">
        <v>72</v>
      </c>
      <c r="D34" s="177" t="s">
        <v>35</v>
      </c>
      <c r="E34" s="174">
        <v>2014</v>
      </c>
      <c r="F34" s="174">
        <v>2026</v>
      </c>
      <c r="G34" s="175">
        <f>1157.3+124.6+483.3+211.5+104.6+92.6+35+52.9+20+0.7</f>
        <v>2282.4999999999995</v>
      </c>
      <c r="H34" s="175">
        <f>151.8+1764.9+1.1+6.1+283.2+45.4</f>
        <v>2252.5</v>
      </c>
      <c r="I34" s="175">
        <f>SUM(K34:R34)</f>
        <v>20</v>
      </c>
      <c r="J34" s="186"/>
      <c r="K34" s="175"/>
      <c r="L34" s="174"/>
      <c r="M34" s="184"/>
      <c r="N34" s="175">
        <v>20</v>
      </c>
      <c r="O34" s="174"/>
      <c r="P34" s="31"/>
      <c r="Q34" s="31"/>
      <c r="R34" s="31"/>
      <c r="S34" s="180"/>
    </row>
    <row r="35" spans="1:20" s="1" customFormat="1" ht="27.75" customHeight="1">
      <c r="A35" s="262">
        <v>15</v>
      </c>
      <c r="B35" s="185" t="s">
        <v>73</v>
      </c>
      <c r="C35" s="172" t="s">
        <v>74</v>
      </c>
      <c r="D35" s="173"/>
      <c r="E35" s="174">
        <v>2011</v>
      </c>
      <c r="F35" s="174">
        <v>2026</v>
      </c>
      <c r="G35" s="175">
        <f>3616.4-1590+60.8+314-229+69.4+62.2-43.7+313.9+149.9+91.1</f>
        <v>2815.0000000000005</v>
      </c>
      <c r="H35" s="175">
        <f>314+1652.3+536+1.6+26.5+68.9</f>
        <v>2599.3000000000002</v>
      </c>
      <c r="I35" s="175">
        <f t="shared" si="0"/>
        <v>48.2</v>
      </c>
      <c r="J35" s="183"/>
      <c r="K35" s="175"/>
      <c r="L35" s="174"/>
      <c r="M35" s="184"/>
      <c r="N35" s="175">
        <v>48.2</v>
      </c>
      <c r="O35" s="174"/>
      <c r="P35" s="31"/>
      <c r="Q35" s="31"/>
      <c r="R35" s="31"/>
      <c r="S35" s="102"/>
    </row>
    <row r="36" spans="1:20" s="1" customFormat="1" ht="27.75" customHeight="1">
      <c r="A36" s="262">
        <v>16</v>
      </c>
      <c r="B36" s="185" t="s">
        <v>75</v>
      </c>
      <c r="C36" s="172" t="s">
        <v>76</v>
      </c>
      <c r="D36" s="173"/>
      <c r="E36" s="174">
        <v>2013</v>
      </c>
      <c r="F36" s="174">
        <v>2026</v>
      </c>
      <c r="G36" s="175">
        <f>1248.3+297.8+202.6+331.3+106</f>
        <v>2186</v>
      </c>
      <c r="H36" s="175">
        <f>667.5+257.7+14.8+458.7+6.2+8.5+753.7</f>
        <v>2167.1000000000004</v>
      </c>
      <c r="I36" s="175">
        <f t="shared" si="0"/>
        <v>12</v>
      </c>
      <c r="J36" s="183"/>
      <c r="K36" s="175"/>
      <c r="L36" s="174"/>
      <c r="M36" s="184"/>
      <c r="N36" s="175">
        <v>12</v>
      </c>
      <c r="O36" s="174"/>
      <c r="P36" s="31"/>
      <c r="Q36" s="31"/>
      <c r="R36" s="31"/>
      <c r="S36" s="98"/>
      <c r="T36" s="99"/>
    </row>
    <row r="37" spans="1:20" s="1" customFormat="1" ht="16.5" customHeight="1">
      <c r="A37" s="262">
        <v>17</v>
      </c>
      <c r="B37" s="185" t="s">
        <v>77</v>
      </c>
      <c r="C37" s="187" t="s">
        <v>78</v>
      </c>
      <c r="D37" s="188"/>
      <c r="E37" s="174">
        <v>2022</v>
      </c>
      <c r="F37" s="174">
        <v>2027</v>
      </c>
      <c r="G37" s="175">
        <f>9307.3-364.3</f>
        <v>8943</v>
      </c>
      <c r="H37" s="175">
        <f>4.6+174+46.2+316.7</f>
        <v>541.5</v>
      </c>
      <c r="I37" s="175">
        <f t="shared" si="0"/>
        <v>31.699999999999996</v>
      </c>
      <c r="J37" s="183"/>
      <c r="K37" s="175"/>
      <c r="L37" s="174"/>
      <c r="M37" s="174"/>
      <c r="N37" s="175">
        <v>31.699999999999996</v>
      </c>
      <c r="O37" s="174"/>
      <c r="P37" s="31"/>
      <c r="Q37" s="31"/>
      <c r="R37" s="10"/>
      <c r="S37" s="3"/>
    </row>
    <row r="38" spans="1:20" s="1" customFormat="1" ht="26.25" customHeight="1">
      <c r="A38" s="262">
        <v>18</v>
      </c>
      <c r="B38" s="185" t="s">
        <v>79</v>
      </c>
      <c r="C38" s="187" t="s">
        <v>80</v>
      </c>
      <c r="D38" s="188"/>
      <c r="E38" s="174">
        <v>2023</v>
      </c>
      <c r="F38" s="174">
        <v>2027</v>
      </c>
      <c r="G38" s="175">
        <v>2766.3</v>
      </c>
      <c r="H38" s="176">
        <v>51</v>
      </c>
      <c r="I38" s="175">
        <f t="shared" si="0"/>
        <v>280.3</v>
      </c>
      <c r="J38" s="183"/>
      <c r="K38" s="175"/>
      <c r="L38" s="174"/>
      <c r="M38" s="174"/>
      <c r="N38" s="175">
        <v>280.3</v>
      </c>
      <c r="O38" s="174"/>
      <c r="P38" s="31"/>
      <c r="Q38" s="31"/>
      <c r="R38" s="10"/>
      <c r="S38" s="104"/>
    </row>
    <row r="39" spans="1:20" s="1" customFormat="1" ht="30" customHeight="1">
      <c r="A39" s="262">
        <v>19</v>
      </c>
      <c r="B39" s="185" t="s">
        <v>81</v>
      </c>
      <c r="C39" s="187" t="s">
        <v>82</v>
      </c>
      <c r="D39" s="188"/>
      <c r="E39" s="174">
        <v>2023</v>
      </c>
      <c r="F39" s="174">
        <v>2027</v>
      </c>
      <c r="G39" s="175">
        <v>23346.9</v>
      </c>
      <c r="H39" s="176">
        <f>117.5+316.2+620.3</f>
        <v>1054</v>
      </c>
      <c r="I39" s="175">
        <f t="shared" si="0"/>
        <v>167.3</v>
      </c>
      <c r="J39" s="183"/>
      <c r="K39" s="175"/>
      <c r="L39" s="174"/>
      <c r="M39" s="174"/>
      <c r="N39" s="175">
        <v>167.3</v>
      </c>
      <c r="O39" s="174"/>
      <c r="P39" s="31"/>
      <c r="Q39" s="31"/>
      <c r="R39" s="10"/>
      <c r="S39" s="104"/>
    </row>
    <row r="40" spans="1:20" s="1" customFormat="1" ht="30" customHeight="1">
      <c r="A40" s="262">
        <v>20</v>
      </c>
      <c r="B40" s="185" t="s">
        <v>83</v>
      </c>
      <c r="C40" s="187" t="s">
        <v>84</v>
      </c>
      <c r="D40" s="188"/>
      <c r="E40" s="174">
        <v>2023</v>
      </c>
      <c r="F40" s="174">
        <v>2027</v>
      </c>
      <c r="G40" s="175">
        <v>662.5</v>
      </c>
      <c r="H40" s="176">
        <f>25.3+14.2+5.2</f>
        <v>44.7</v>
      </c>
      <c r="I40" s="175">
        <f t="shared" si="0"/>
        <v>575</v>
      </c>
      <c r="J40" s="183"/>
      <c r="K40" s="175"/>
      <c r="L40" s="174"/>
      <c r="M40" s="174"/>
      <c r="N40" s="175">
        <v>575</v>
      </c>
      <c r="O40" s="174"/>
      <c r="P40" s="31"/>
      <c r="Q40" s="31"/>
      <c r="R40" s="10"/>
      <c r="S40" s="104"/>
    </row>
    <row r="41" spans="1:20" s="1" customFormat="1" ht="30" hidden="1" customHeight="1">
      <c r="A41" s="262">
        <v>27.5</v>
      </c>
      <c r="B41" s="33" t="s">
        <v>85</v>
      </c>
      <c r="C41" s="121" t="s">
        <v>86</v>
      </c>
      <c r="D41" s="125"/>
      <c r="E41" s="31">
        <v>2023</v>
      </c>
      <c r="F41" s="31">
        <v>2028</v>
      </c>
      <c r="G41" s="10">
        <v>27000</v>
      </c>
      <c r="H41" s="63"/>
      <c r="I41" s="118">
        <f t="shared" si="0"/>
        <v>0</v>
      </c>
      <c r="J41" s="160"/>
      <c r="K41" s="10"/>
      <c r="L41" s="31"/>
      <c r="M41" s="31"/>
      <c r="N41" s="10"/>
      <c r="O41" s="31"/>
      <c r="P41" s="31"/>
      <c r="Q41" s="31"/>
      <c r="R41" s="10"/>
      <c r="S41" s="101"/>
    </row>
    <row r="42" spans="1:20" s="1" customFormat="1" ht="27.75" customHeight="1">
      <c r="A42" s="262">
        <v>21</v>
      </c>
      <c r="B42" s="33" t="s">
        <v>87</v>
      </c>
      <c r="C42" s="26" t="s">
        <v>88</v>
      </c>
      <c r="D42" s="92"/>
      <c r="E42" s="31">
        <v>2023</v>
      </c>
      <c r="F42" s="31">
        <v>2028</v>
      </c>
      <c r="G42" s="10">
        <f>13000+17500</f>
        <v>30500</v>
      </c>
      <c r="H42" s="63">
        <f>9+224.4+297.4</f>
        <v>530.79999999999995</v>
      </c>
      <c r="I42" s="10">
        <f t="shared" ref="I42:I47" si="1">SUM(K42:R42)</f>
        <v>281</v>
      </c>
      <c r="J42" s="160"/>
      <c r="K42" s="10"/>
      <c r="L42" s="31"/>
      <c r="M42" s="31"/>
      <c r="N42" s="159">
        <f>783.9-502.9</f>
        <v>281</v>
      </c>
      <c r="O42" s="31"/>
      <c r="P42" s="31"/>
      <c r="Q42" s="31"/>
      <c r="R42" s="10"/>
      <c r="S42" s="104"/>
    </row>
    <row r="43" spans="1:20" s="1" customFormat="1" ht="21.75" customHeight="1">
      <c r="A43" s="262">
        <v>22</v>
      </c>
      <c r="B43" s="33" t="s">
        <v>89</v>
      </c>
      <c r="C43" s="26" t="s">
        <v>90</v>
      </c>
      <c r="D43" s="92"/>
      <c r="E43" s="31">
        <v>2024</v>
      </c>
      <c r="F43" s="31">
        <v>2028</v>
      </c>
      <c r="G43" s="10">
        <v>6278.2</v>
      </c>
      <c r="H43" s="63">
        <f>83.4+287.6</f>
        <v>371</v>
      </c>
      <c r="I43" s="10">
        <f t="shared" si="1"/>
        <v>170.7</v>
      </c>
      <c r="J43" s="160"/>
      <c r="K43" s="10"/>
      <c r="L43" s="31"/>
      <c r="M43" s="31"/>
      <c r="N43" s="159">
        <f>394.7-224</f>
        <v>170.7</v>
      </c>
      <c r="O43" s="31"/>
      <c r="P43" s="31"/>
      <c r="Q43" s="31"/>
      <c r="R43" s="10"/>
    </row>
    <row r="44" spans="1:20" s="1" customFormat="1" ht="27" customHeight="1">
      <c r="A44" s="262">
        <v>23</v>
      </c>
      <c r="B44" s="33" t="s">
        <v>91</v>
      </c>
      <c r="C44" s="26" t="s">
        <v>92</v>
      </c>
      <c r="D44" s="92"/>
      <c r="E44" s="31">
        <v>2024</v>
      </c>
      <c r="F44" s="31">
        <v>2028</v>
      </c>
      <c r="G44" s="10">
        <v>15982</v>
      </c>
      <c r="H44" s="63">
        <f>26.7+126</f>
        <v>152.69999999999999</v>
      </c>
      <c r="I44" s="10">
        <f t="shared" si="1"/>
        <v>158.29999999999995</v>
      </c>
      <c r="J44" s="160"/>
      <c r="K44" s="10"/>
      <c r="L44" s="31"/>
      <c r="M44" s="31"/>
      <c r="N44" s="159">
        <f>564.8-406.5</f>
        <v>158.29999999999995</v>
      </c>
      <c r="O44" s="31"/>
      <c r="P44" s="31"/>
      <c r="Q44" s="31"/>
      <c r="R44" s="10"/>
    </row>
    <row r="45" spans="1:20" s="1" customFormat="1" ht="30" customHeight="1">
      <c r="A45" s="262">
        <v>24</v>
      </c>
      <c r="B45" s="33" t="s">
        <v>93</v>
      </c>
      <c r="C45" s="26" t="s">
        <v>94</v>
      </c>
      <c r="D45" s="92"/>
      <c r="E45" s="31">
        <v>2024</v>
      </c>
      <c r="F45" s="31">
        <v>2028</v>
      </c>
      <c r="G45" s="10">
        <v>19854</v>
      </c>
      <c r="H45" s="63">
        <f>46.7+278.8</f>
        <v>325.5</v>
      </c>
      <c r="I45" s="10">
        <f t="shared" si="1"/>
        <v>447.5</v>
      </c>
      <c r="J45" s="160"/>
      <c r="K45" s="10"/>
      <c r="L45" s="31"/>
      <c r="M45" s="31"/>
      <c r="N45" s="159">
        <f>999-551.5</f>
        <v>447.5</v>
      </c>
      <c r="O45" s="31"/>
      <c r="P45" s="31"/>
      <c r="Q45" s="31"/>
      <c r="R45" s="10"/>
    </row>
    <row r="46" spans="1:20" s="1" customFormat="1" ht="28.5" customHeight="1">
      <c r="A46" s="262">
        <v>25</v>
      </c>
      <c r="B46" s="185" t="s">
        <v>95</v>
      </c>
      <c r="C46" s="187" t="s">
        <v>96</v>
      </c>
      <c r="D46" s="188"/>
      <c r="E46" s="174">
        <v>2024</v>
      </c>
      <c r="F46" s="174">
        <v>2028</v>
      </c>
      <c r="G46" s="175">
        <v>21331</v>
      </c>
      <c r="H46" s="176">
        <f>36.7+101.9</f>
        <v>138.60000000000002</v>
      </c>
      <c r="I46" s="175">
        <f t="shared" si="1"/>
        <v>70</v>
      </c>
      <c r="J46" s="183"/>
      <c r="K46" s="175"/>
      <c r="L46" s="174"/>
      <c r="M46" s="174"/>
      <c r="N46" s="175">
        <v>70</v>
      </c>
      <c r="O46" s="31"/>
      <c r="P46" s="31"/>
      <c r="Q46" s="31"/>
      <c r="R46" s="10"/>
    </row>
    <row r="47" spans="1:20" s="1" customFormat="1" ht="29.25" customHeight="1">
      <c r="A47" s="262">
        <v>26</v>
      </c>
      <c r="B47" s="185" t="s">
        <v>97</v>
      </c>
      <c r="C47" s="187" t="s">
        <v>98</v>
      </c>
      <c r="D47" s="188"/>
      <c r="E47" s="174">
        <v>2024</v>
      </c>
      <c r="F47" s="174">
        <v>2029</v>
      </c>
      <c r="G47" s="175">
        <v>14598</v>
      </c>
      <c r="H47" s="176">
        <v>130.9</v>
      </c>
      <c r="I47" s="175">
        <f t="shared" si="1"/>
        <v>838.6</v>
      </c>
      <c r="J47" s="183"/>
      <c r="K47" s="175"/>
      <c r="L47" s="174"/>
      <c r="M47" s="174"/>
      <c r="N47" s="175">
        <v>838.6</v>
      </c>
      <c r="O47" s="94"/>
      <c r="P47" s="94"/>
      <c r="Q47" s="94"/>
      <c r="R47" s="34"/>
    </row>
    <row r="48" spans="1:20" s="1" customFormat="1" ht="36" hidden="1" customHeight="1">
      <c r="A48" s="262">
        <v>34.5</v>
      </c>
      <c r="B48" s="185" t="s">
        <v>99</v>
      </c>
      <c r="C48" s="187" t="s">
        <v>100</v>
      </c>
      <c r="D48" s="188"/>
      <c r="E48" s="174">
        <v>2024</v>
      </c>
      <c r="F48" s="174">
        <v>2028</v>
      </c>
      <c r="G48" s="175">
        <v>13807.5</v>
      </c>
      <c r="H48" s="189"/>
      <c r="I48" s="175">
        <f t="shared" si="0"/>
        <v>0</v>
      </c>
      <c r="J48" s="183"/>
      <c r="K48" s="175"/>
      <c r="L48" s="174"/>
      <c r="M48" s="174"/>
      <c r="N48" s="175"/>
      <c r="O48" s="94"/>
      <c r="P48" s="94"/>
      <c r="Q48" s="94"/>
      <c r="R48" s="34"/>
    </row>
    <row r="49" spans="1:22" s="1" customFormat="1" ht="31.5" hidden="1" customHeight="1">
      <c r="A49" s="262">
        <v>35.5</v>
      </c>
      <c r="B49" s="185" t="s">
        <v>101</v>
      </c>
      <c r="C49" s="187" t="s">
        <v>102</v>
      </c>
      <c r="D49" s="188"/>
      <c r="E49" s="174">
        <v>2024</v>
      </c>
      <c r="F49" s="174">
        <v>2029</v>
      </c>
      <c r="G49" s="175">
        <v>29156</v>
      </c>
      <c r="H49" s="176">
        <v>716.3</v>
      </c>
      <c r="I49" s="175">
        <f t="shared" si="0"/>
        <v>0</v>
      </c>
      <c r="J49" s="183"/>
      <c r="K49" s="175"/>
      <c r="L49" s="174"/>
      <c r="M49" s="174"/>
      <c r="N49" s="175"/>
      <c r="O49" s="94"/>
      <c r="P49" s="94"/>
      <c r="Q49" s="94"/>
      <c r="R49" s="34"/>
      <c r="S49" s="101"/>
      <c r="T49" s="99"/>
    </row>
    <row r="50" spans="1:22" s="1" customFormat="1" ht="32.25" customHeight="1">
      <c r="A50" s="262">
        <v>27</v>
      </c>
      <c r="B50" s="185" t="s">
        <v>103</v>
      </c>
      <c r="C50" s="187" t="s">
        <v>104</v>
      </c>
      <c r="D50" s="188"/>
      <c r="E50" s="174">
        <v>2024</v>
      </c>
      <c r="F50" s="174">
        <v>2027</v>
      </c>
      <c r="G50" s="175">
        <v>1365.5</v>
      </c>
      <c r="H50" s="176">
        <v>36.299999999999997</v>
      </c>
      <c r="I50" s="175">
        <f t="shared" si="0"/>
        <v>116.7</v>
      </c>
      <c r="J50" s="186"/>
      <c r="K50" s="175"/>
      <c r="L50" s="174"/>
      <c r="M50" s="174"/>
      <c r="N50" s="175">
        <f>150-33.3</f>
        <v>116.7</v>
      </c>
      <c r="O50" s="94"/>
      <c r="P50" s="94"/>
      <c r="Q50" s="94"/>
      <c r="R50" s="34"/>
      <c r="S50" s="3"/>
      <c r="T50" s="99"/>
    </row>
    <row r="51" spans="1:22" s="1" customFormat="1" ht="32.25" customHeight="1">
      <c r="A51" s="262">
        <v>28</v>
      </c>
      <c r="B51" s="185" t="s">
        <v>105</v>
      </c>
      <c r="C51" s="187" t="s">
        <v>106</v>
      </c>
      <c r="D51" s="188"/>
      <c r="E51" s="174">
        <v>2026</v>
      </c>
      <c r="F51" s="174">
        <v>2029</v>
      </c>
      <c r="G51" s="175">
        <v>21990</v>
      </c>
      <c r="H51" s="176">
        <v>6.7</v>
      </c>
      <c r="I51" s="175">
        <f t="shared" si="0"/>
        <v>60.1</v>
      </c>
      <c r="J51" s="183"/>
      <c r="K51" s="175"/>
      <c r="L51" s="174"/>
      <c r="M51" s="174"/>
      <c r="N51" s="175">
        <v>60.1</v>
      </c>
      <c r="O51" s="94"/>
      <c r="P51" s="94"/>
      <c r="Q51" s="94"/>
      <c r="R51" s="34"/>
      <c r="S51" s="101"/>
      <c r="T51" s="99"/>
    </row>
    <row r="52" spans="1:22" s="1" customFormat="1" ht="32.25" customHeight="1">
      <c r="A52" s="262">
        <v>29</v>
      </c>
      <c r="B52" s="185" t="s">
        <v>107</v>
      </c>
      <c r="C52" s="187" t="s">
        <v>108</v>
      </c>
      <c r="D52" s="188"/>
      <c r="E52" s="174">
        <v>2026</v>
      </c>
      <c r="F52" s="174">
        <v>2027</v>
      </c>
      <c r="G52" s="175">
        <v>10.7</v>
      </c>
      <c r="H52" s="176"/>
      <c r="I52" s="175">
        <f t="shared" ref="I52:I54" si="2">SUM(J52:R52)</f>
        <v>10.7</v>
      </c>
      <c r="J52" s="183">
        <v>10.7</v>
      </c>
      <c r="K52" s="175"/>
      <c r="L52" s="174"/>
      <c r="M52" s="174"/>
      <c r="N52" s="175"/>
      <c r="O52" s="94"/>
      <c r="P52" s="94"/>
      <c r="Q52" s="94"/>
      <c r="R52" s="34"/>
      <c r="S52" s="101"/>
      <c r="T52" s="99"/>
    </row>
    <row r="53" spans="1:22" s="1" customFormat="1" ht="32.25" customHeight="1">
      <c r="A53" s="262">
        <v>30</v>
      </c>
      <c r="B53" s="185" t="s">
        <v>109</v>
      </c>
      <c r="C53" s="187" t="s">
        <v>110</v>
      </c>
      <c r="D53" s="188"/>
      <c r="E53" s="174">
        <v>2026</v>
      </c>
      <c r="F53" s="174">
        <v>2027</v>
      </c>
      <c r="G53" s="175">
        <v>100</v>
      </c>
      <c r="H53" s="176"/>
      <c r="I53" s="175">
        <f t="shared" si="2"/>
        <v>100</v>
      </c>
      <c r="J53" s="183">
        <v>100</v>
      </c>
      <c r="K53" s="175"/>
      <c r="L53" s="174"/>
      <c r="M53" s="174"/>
      <c r="N53" s="175"/>
      <c r="O53" s="94"/>
      <c r="P53" s="94"/>
      <c r="Q53" s="94"/>
      <c r="R53" s="34"/>
      <c r="S53" s="101"/>
      <c r="T53" s="99"/>
    </row>
    <row r="54" spans="1:22" s="1" customFormat="1" ht="32.25" customHeight="1">
      <c r="A54" s="262">
        <v>31</v>
      </c>
      <c r="B54" s="185" t="s">
        <v>111</v>
      </c>
      <c r="C54" s="187" t="s">
        <v>112</v>
      </c>
      <c r="D54" s="188"/>
      <c r="E54" s="174">
        <v>2026</v>
      </c>
      <c r="F54" s="174">
        <v>2027</v>
      </c>
      <c r="G54" s="175">
        <v>50</v>
      </c>
      <c r="H54" s="176"/>
      <c r="I54" s="175">
        <f t="shared" si="2"/>
        <v>50</v>
      </c>
      <c r="J54" s="183">
        <v>50</v>
      </c>
      <c r="K54" s="175"/>
      <c r="L54" s="174"/>
      <c r="M54" s="174"/>
      <c r="N54" s="175"/>
      <c r="O54" s="94"/>
      <c r="P54" s="94"/>
      <c r="Q54" s="94"/>
      <c r="R54" s="34"/>
      <c r="S54" s="101"/>
      <c r="T54" s="99"/>
    </row>
    <row r="55" spans="1:22" s="8" customFormat="1" ht="13.5" customHeight="1">
      <c r="A55" s="111"/>
      <c r="B55" s="65"/>
      <c r="C55" s="111" t="s">
        <v>113</v>
      </c>
      <c r="D55" s="111" t="s">
        <v>114</v>
      </c>
      <c r="E55" s="111"/>
      <c r="F55" s="111"/>
      <c r="G55" s="112">
        <f t="shared" ref="G55:I55" si="3">SUM(G12:G54)</f>
        <v>478533.4</v>
      </c>
      <c r="H55" s="112">
        <f t="shared" si="3"/>
        <v>66780.999999999985</v>
      </c>
      <c r="I55" s="112">
        <f t="shared" si="3"/>
        <v>19605.099999999999</v>
      </c>
      <c r="J55" s="112">
        <f>SUM(J12:J54)</f>
        <v>9605.1000000000022</v>
      </c>
      <c r="K55" s="112">
        <f t="shared" ref="K55:R55" si="4">SUM(K12:K51)</f>
        <v>0</v>
      </c>
      <c r="L55" s="112">
        <f t="shared" si="4"/>
        <v>0</v>
      </c>
      <c r="M55" s="112">
        <f t="shared" si="4"/>
        <v>0</v>
      </c>
      <c r="N55" s="112">
        <f t="shared" si="4"/>
        <v>10000</v>
      </c>
      <c r="O55" s="112">
        <f t="shared" si="4"/>
        <v>0</v>
      </c>
      <c r="P55" s="112">
        <f t="shared" si="4"/>
        <v>0</v>
      </c>
      <c r="Q55" s="112">
        <f t="shared" si="4"/>
        <v>0</v>
      </c>
      <c r="R55" s="112">
        <f t="shared" si="4"/>
        <v>0</v>
      </c>
      <c r="S55" s="105"/>
    </row>
    <row r="56" spans="1:22" ht="36.75" customHeight="1">
      <c r="A56" s="213">
        <v>32</v>
      </c>
      <c r="B56" s="33" t="s">
        <v>115</v>
      </c>
      <c r="C56" s="190" t="s">
        <v>116</v>
      </c>
      <c r="D56" s="191" t="s">
        <v>117</v>
      </c>
      <c r="E56" s="192">
        <v>2017</v>
      </c>
      <c r="F56" s="192">
        <v>2026</v>
      </c>
      <c r="G56" s="175">
        <f>5211.4+8.1+1672.9-1480+1500.8+1697.5+1940.7+1633+1994.5+2250.9+27544.3</f>
        <v>43974.100000000006</v>
      </c>
      <c r="H56" s="176">
        <f>8.8+15.9+879.3+828.8+3058.8+10707+4554.1+6188.6+5185.7</f>
        <v>31427.000000000004</v>
      </c>
      <c r="I56" s="175">
        <f>SUM(J56:R56)</f>
        <v>5886.8</v>
      </c>
      <c r="J56" s="175">
        <v>1850</v>
      </c>
      <c r="K56" s="175"/>
      <c r="L56" s="175"/>
      <c r="M56" s="175">
        <v>1800</v>
      </c>
      <c r="N56" s="193"/>
      <c r="O56" s="194"/>
      <c r="P56" s="194"/>
      <c r="Q56" s="194"/>
      <c r="R56" s="175">
        <f>1400+853.8-17</f>
        <v>2236.8000000000002</v>
      </c>
      <c r="S56" s="3"/>
    </row>
    <row r="57" spans="1:22" ht="29.25" customHeight="1">
      <c r="A57" s="213">
        <v>33</v>
      </c>
      <c r="B57" s="33" t="s">
        <v>118</v>
      </c>
      <c r="C57" s="190" t="s">
        <v>119</v>
      </c>
      <c r="D57" s="191"/>
      <c r="E57" s="192">
        <v>2016</v>
      </c>
      <c r="F57" s="192">
        <v>2026</v>
      </c>
      <c r="G57" s="175">
        <f>5900+1081.6+893.4-326.6+223.2+2064.6+5036.6</f>
        <v>14872.8</v>
      </c>
      <c r="H57" s="176">
        <f>4.7+1.5+1.6+1054.7+95.7+30.2+8134.3+3148.1+733.4+37.1</f>
        <v>13241.300000000001</v>
      </c>
      <c r="I57" s="175">
        <f>SUM(J57:R57)</f>
        <v>110.7</v>
      </c>
      <c r="J57" s="175"/>
      <c r="K57" s="175"/>
      <c r="L57" s="175"/>
      <c r="M57" s="175"/>
      <c r="N57" s="193"/>
      <c r="O57" s="175">
        <f>71</f>
        <v>71</v>
      </c>
      <c r="P57" s="194"/>
      <c r="Q57" s="194"/>
      <c r="R57" s="175">
        <v>39.700000000000003</v>
      </c>
      <c r="S57" s="3"/>
    </row>
    <row r="58" spans="1:22" ht="29.25" customHeight="1">
      <c r="A58" s="213">
        <v>34</v>
      </c>
      <c r="B58" s="33" t="s">
        <v>120</v>
      </c>
      <c r="C58" s="195" t="s">
        <v>121</v>
      </c>
      <c r="D58" s="196"/>
      <c r="E58" s="197">
        <v>2025</v>
      </c>
      <c r="F58" s="197">
        <v>2029</v>
      </c>
      <c r="G58" s="198">
        <v>5091.7</v>
      </c>
      <c r="H58" s="176">
        <v>173</v>
      </c>
      <c r="I58" s="199">
        <f>SUM(J58:R58)</f>
        <v>2091.2999999999997</v>
      </c>
      <c r="J58" s="175"/>
      <c r="K58" s="175"/>
      <c r="L58" s="175"/>
      <c r="M58" s="175"/>
      <c r="N58" s="175">
        <v>728.6</v>
      </c>
      <c r="O58" s="175">
        <f>1402.6-39.9</f>
        <v>1362.6999999999998</v>
      </c>
      <c r="P58" s="175"/>
      <c r="Q58" s="200"/>
      <c r="R58" s="175"/>
      <c r="S58" s="3"/>
    </row>
    <row r="59" spans="1:22" ht="14.25" customHeight="1">
      <c r="A59" s="31"/>
      <c r="B59" s="93"/>
      <c r="C59" s="201" t="s">
        <v>122</v>
      </c>
      <c r="D59" s="202" t="s">
        <v>123</v>
      </c>
      <c r="E59" s="192"/>
      <c r="F59" s="192"/>
      <c r="G59" s="203">
        <f>SUM(G56:G58)</f>
        <v>63938.600000000006</v>
      </c>
      <c r="H59" s="203">
        <f>SUM(H56:H58)</f>
        <v>44841.3</v>
      </c>
      <c r="I59" s="203">
        <f>SUM(I56:I58)</f>
        <v>8088.7999999999993</v>
      </c>
      <c r="J59" s="203">
        <f>SUM(J56:J58)</f>
        <v>1850</v>
      </c>
      <c r="K59" s="203"/>
      <c r="L59" s="203">
        <f t="shared" ref="L59:R59" si="5">SUM(L56:L58)</f>
        <v>0</v>
      </c>
      <c r="M59" s="203">
        <f t="shared" si="5"/>
        <v>1800</v>
      </c>
      <c r="N59" s="203">
        <f t="shared" si="5"/>
        <v>728.6</v>
      </c>
      <c r="O59" s="203">
        <f t="shared" si="5"/>
        <v>1433.6999999999998</v>
      </c>
      <c r="P59" s="203">
        <f t="shared" si="5"/>
        <v>0</v>
      </c>
      <c r="Q59" s="203">
        <f t="shared" si="5"/>
        <v>0</v>
      </c>
      <c r="R59" s="203">
        <f t="shared" si="5"/>
        <v>2276.5</v>
      </c>
      <c r="S59" s="105"/>
      <c r="V59" s="4" t="s">
        <v>124</v>
      </c>
    </row>
    <row r="60" spans="1:22" ht="30" customHeight="1">
      <c r="A60" s="263">
        <v>35</v>
      </c>
      <c r="B60" s="33" t="s">
        <v>125</v>
      </c>
      <c r="C60" s="32" t="s">
        <v>126</v>
      </c>
      <c r="D60" s="29"/>
      <c r="E60" s="31">
        <v>2005</v>
      </c>
      <c r="F60" s="31">
        <v>2026</v>
      </c>
      <c r="G60" s="62">
        <v>19622.099999999999</v>
      </c>
      <c r="H60" s="128">
        <f>2264.9+68.6+156.2+727.6+440.1+1472.7+593.4+210+1838.3+1733.6+800+1090</f>
        <v>11395.4</v>
      </c>
      <c r="I60" s="10">
        <f t="shared" ref="I60:I77" si="6">SUM(J60:R60)</f>
        <v>500</v>
      </c>
      <c r="J60" s="10">
        <v>500</v>
      </c>
      <c r="K60" s="10"/>
      <c r="L60" s="24"/>
      <c r="M60" s="24"/>
      <c r="N60" s="24"/>
      <c r="O60" s="24"/>
      <c r="P60" s="24"/>
      <c r="Q60" s="24"/>
      <c r="R60" s="24"/>
    </row>
    <row r="61" spans="1:22" ht="43.5" customHeight="1">
      <c r="A61" s="263">
        <v>36</v>
      </c>
      <c r="B61" s="33" t="s">
        <v>127</v>
      </c>
      <c r="C61" s="26" t="s">
        <v>128</v>
      </c>
      <c r="D61" s="29"/>
      <c r="E61" s="31">
        <v>2025</v>
      </c>
      <c r="F61" s="31">
        <v>2026</v>
      </c>
      <c r="G61" s="10">
        <v>8000</v>
      </c>
      <c r="H61" s="128">
        <v>2405.1</v>
      </c>
      <c r="I61" s="10">
        <f t="shared" si="6"/>
        <v>3300</v>
      </c>
      <c r="J61" s="10">
        <f>2880.3-2880.3</f>
        <v>0</v>
      </c>
      <c r="K61" s="19"/>
      <c r="L61" s="81"/>
      <c r="N61" s="10">
        <v>3300</v>
      </c>
      <c r="O61" s="81"/>
      <c r="P61" s="81"/>
      <c r="Q61" s="81"/>
      <c r="R61" s="24"/>
      <c r="S61" s="107"/>
      <c r="T61" s="3"/>
    </row>
    <row r="62" spans="1:22" ht="54" customHeight="1">
      <c r="A62" s="263">
        <v>37</v>
      </c>
      <c r="B62" s="33" t="s">
        <v>129</v>
      </c>
      <c r="C62" s="26" t="s">
        <v>130</v>
      </c>
      <c r="D62" s="29" t="s">
        <v>131</v>
      </c>
      <c r="E62" s="31">
        <v>2020</v>
      </c>
      <c r="F62" s="31">
        <v>2026</v>
      </c>
      <c r="G62" s="10">
        <f>4500+4850+2650+3450</f>
        <v>15450</v>
      </c>
      <c r="H62" s="63">
        <f>117.4+2848.3+4522.3+626.1</f>
        <v>8114.1</v>
      </c>
      <c r="I62" s="10">
        <f t="shared" si="6"/>
        <v>700</v>
      </c>
      <c r="J62" s="10"/>
      <c r="K62" s="19"/>
      <c r="L62" s="81"/>
      <c r="M62" s="81"/>
      <c r="N62" s="10">
        <v>700</v>
      </c>
      <c r="O62" s="81"/>
      <c r="P62" s="81"/>
      <c r="Q62" s="81"/>
      <c r="R62" s="10"/>
      <c r="S62" s="107"/>
      <c r="T62" s="3"/>
    </row>
    <row r="63" spans="1:22" ht="29.25" hidden="1" customHeight="1">
      <c r="A63" s="263">
        <v>38</v>
      </c>
      <c r="B63" s="33" t="s">
        <v>132</v>
      </c>
      <c r="C63" s="121" t="s">
        <v>133</v>
      </c>
      <c r="D63" s="122"/>
      <c r="E63" s="31">
        <v>2022</v>
      </c>
      <c r="F63" s="31">
        <v>2027</v>
      </c>
      <c r="G63" s="10">
        <f>2700+100+4279</f>
        <v>7079</v>
      </c>
      <c r="H63" s="63">
        <f>3.9+75.7+82.9</f>
        <v>162.5</v>
      </c>
      <c r="I63" s="118">
        <f t="shared" si="6"/>
        <v>0</v>
      </c>
      <c r="J63" s="19"/>
      <c r="K63" s="19"/>
      <c r="L63" s="81"/>
      <c r="M63" s="81"/>
      <c r="N63" s="10"/>
      <c r="O63" s="81"/>
      <c r="P63" s="81"/>
      <c r="Q63" s="81"/>
      <c r="R63" s="81"/>
      <c r="S63" s="107"/>
    </row>
    <row r="64" spans="1:22" ht="43.5" hidden="1" customHeight="1">
      <c r="A64" s="263">
        <v>39</v>
      </c>
      <c r="B64" s="33" t="s">
        <v>134</v>
      </c>
      <c r="C64" s="121" t="s">
        <v>135</v>
      </c>
      <c r="D64" s="122"/>
      <c r="E64" s="31">
        <v>2022</v>
      </c>
      <c r="F64" s="31">
        <v>2026</v>
      </c>
      <c r="G64" s="10">
        <f>950+1100</f>
        <v>2050</v>
      </c>
      <c r="H64" s="63">
        <v>9</v>
      </c>
      <c r="I64" s="118">
        <f t="shared" si="6"/>
        <v>0</v>
      </c>
      <c r="J64" s="19"/>
      <c r="K64" s="19"/>
      <c r="L64" s="81"/>
      <c r="M64" s="81"/>
      <c r="N64" s="10"/>
      <c r="O64" s="81"/>
      <c r="P64" s="81"/>
      <c r="Q64" s="81"/>
      <c r="R64" s="24"/>
      <c r="S64" s="106"/>
    </row>
    <row r="65" spans="1:20" ht="30.75" hidden="1" customHeight="1">
      <c r="A65" s="263">
        <v>40</v>
      </c>
      <c r="B65" s="66">
        <v>20301040124</v>
      </c>
      <c r="C65" s="119" t="s">
        <v>136</v>
      </c>
      <c r="D65" s="122"/>
      <c r="E65" s="31">
        <v>2023</v>
      </c>
      <c r="F65" s="31">
        <v>2026</v>
      </c>
      <c r="G65" s="10">
        <f>2100+1498.6</f>
        <v>3598.6</v>
      </c>
      <c r="H65" s="63">
        <f>4.3+80.8+143.3</f>
        <v>228.4</v>
      </c>
      <c r="I65" s="118">
        <f t="shared" si="6"/>
        <v>0</v>
      </c>
      <c r="J65" s="19"/>
      <c r="K65" s="19"/>
      <c r="L65" s="81"/>
      <c r="M65" s="81"/>
      <c r="N65" s="10"/>
      <c r="O65" s="81"/>
      <c r="P65" s="81"/>
      <c r="Q65" s="81"/>
      <c r="R65" s="24"/>
      <c r="S65" s="106"/>
    </row>
    <row r="66" spans="1:20" s="8" customFormat="1" ht="20.25" hidden="1" customHeight="1">
      <c r="A66" s="263">
        <v>41</v>
      </c>
      <c r="B66" s="33" t="s">
        <v>137</v>
      </c>
      <c r="C66" s="9" t="s">
        <v>138</v>
      </c>
      <c r="D66" s="77"/>
      <c r="E66" s="31">
        <v>2026</v>
      </c>
      <c r="F66" s="31">
        <v>2028</v>
      </c>
      <c r="G66" s="10">
        <v>16000</v>
      </c>
      <c r="H66" s="63"/>
      <c r="I66" s="118">
        <f t="shared" si="6"/>
        <v>0</v>
      </c>
      <c r="J66" s="10"/>
      <c r="K66" s="10"/>
      <c r="L66" s="28"/>
      <c r="M66" s="28"/>
      <c r="N66" s="10"/>
      <c r="O66" s="28"/>
      <c r="P66" s="28"/>
      <c r="Q66" s="28"/>
      <c r="R66" s="10"/>
      <c r="S66" s="104"/>
      <c r="T66" s="3"/>
    </row>
    <row r="67" spans="1:20" s="8" customFormat="1" ht="18" customHeight="1">
      <c r="A67" s="263">
        <v>38</v>
      </c>
      <c r="B67" s="31">
        <v>20304010201</v>
      </c>
      <c r="C67" s="204" t="s">
        <v>139</v>
      </c>
      <c r="D67" s="205"/>
      <c r="E67" s="206">
        <v>2016</v>
      </c>
      <c r="F67" s="206">
        <v>2026</v>
      </c>
      <c r="G67" s="182">
        <f>100+200+700+1320.5-66.4+3845.9+879</f>
        <v>6979</v>
      </c>
      <c r="H67" s="207">
        <f>89.1+125.7+131.5+24.2+139.6+1119.3+66.6+11.5+746.3+2095.8</f>
        <v>4549.6000000000004</v>
      </c>
      <c r="I67" s="182">
        <f t="shared" si="6"/>
        <v>250</v>
      </c>
      <c r="J67" s="182">
        <v>250</v>
      </c>
      <c r="K67" s="182"/>
      <c r="L67" s="208"/>
      <c r="M67" s="208"/>
      <c r="N67" s="182"/>
      <c r="O67" s="208"/>
      <c r="P67" s="208"/>
      <c r="Q67" s="208"/>
      <c r="R67" s="182"/>
      <c r="S67" s="101"/>
    </row>
    <row r="68" spans="1:20" s="8" customFormat="1" ht="18.75" customHeight="1">
      <c r="A68" s="263">
        <v>39</v>
      </c>
      <c r="B68" s="33" t="s">
        <v>140</v>
      </c>
      <c r="C68" s="204" t="s">
        <v>141</v>
      </c>
      <c r="D68" s="205"/>
      <c r="E68" s="206">
        <v>2022</v>
      </c>
      <c r="F68" s="206">
        <v>2026</v>
      </c>
      <c r="G68" s="182">
        <f>220+250-30+140.6+619.4+50</f>
        <v>1250</v>
      </c>
      <c r="H68" s="207">
        <f>101.6+279+569</f>
        <v>949.6</v>
      </c>
      <c r="I68" s="182">
        <f t="shared" si="6"/>
        <v>25.4</v>
      </c>
      <c r="J68" s="182"/>
      <c r="K68" s="182"/>
      <c r="L68" s="208"/>
      <c r="M68" s="208"/>
      <c r="N68" s="182">
        <v>25.4</v>
      </c>
      <c r="O68" s="208"/>
      <c r="P68" s="208"/>
      <c r="Q68" s="208"/>
      <c r="R68" s="208"/>
      <c r="S68" s="3"/>
    </row>
    <row r="69" spans="1:20" s="1" customFormat="1" ht="27" hidden="1" customHeight="1">
      <c r="A69" s="263">
        <v>44</v>
      </c>
      <c r="B69" s="33" t="s">
        <v>142</v>
      </c>
      <c r="C69" s="209" t="s">
        <v>143</v>
      </c>
      <c r="D69" s="210"/>
      <c r="E69" s="206">
        <v>2020</v>
      </c>
      <c r="F69" s="206">
        <v>2027</v>
      </c>
      <c r="G69" s="182">
        <f>4000+6218+332</f>
        <v>10550</v>
      </c>
      <c r="H69" s="207">
        <f>0.8+12.9+4.3+5.8</f>
        <v>23.8</v>
      </c>
      <c r="I69" s="182">
        <f t="shared" si="6"/>
        <v>0</v>
      </c>
      <c r="J69" s="182"/>
      <c r="K69" s="182"/>
      <c r="L69" s="206"/>
      <c r="M69" s="206"/>
      <c r="N69" s="182"/>
      <c r="O69" s="206"/>
      <c r="P69" s="206"/>
      <c r="Q69" s="206"/>
      <c r="R69" s="206"/>
      <c r="S69" s="103"/>
    </row>
    <row r="70" spans="1:20" s="1" customFormat="1" ht="27" hidden="1" customHeight="1">
      <c r="A70" s="263">
        <v>45</v>
      </c>
      <c r="B70" s="33" t="s">
        <v>144</v>
      </c>
      <c r="C70" s="209" t="s">
        <v>145</v>
      </c>
      <c r="D70" s="210"/>
      <c r="E70" s="206">
        <v>2019</v>
      </c>
      <c r="F70" s="206">
        <v>2027</v>
      </c>
      <c r="G70" s="182">
        <f>18200+11800</f>
        <v>30000</v>
      </c>
      <c r="H70" s="207">
        <f>69.3+155.1</f>
        <v>224.39999999999998</v>
      </c>
      <c r="I70" s="182">
        <f t="shared" si="6"/>
        <v>0</v>
      </c>
      <c r="J70" s="182"/>
      <c r="K70" s="182"/>
      <c r="L70" s="206"/>
      <c r="M70" s="206"/>
      <c r="N70" s="182"/>
      <c r="O70" s="206"/>
      <c r="P70" s="206"/>
      <c r="Q70" s="206"/>
      <c r="R70" s="182"/>
      <c r="S70" s="3"/>
    </row>
    <row r="71" spans="1:20" s="1" customFormat="1" ht="27" customHeight="1">
      <c r="A71" s="263">
        <v>40</v>
      </c>
      <c r="B71" s="33" t="s">
        <v>146</v>
      </c>
      <c r="C71" s="209" t="s">
        <v>147</v>
      </c>
      <c r="D71" s="210"/>
      <c r="E71" s="206">
        <v>2020</v>
      </c>
      <c r="F71" s="206">
        <v>2027</v>
      </c>
      <c r="G71" s="182">
        <f>15000+5353+16947+3982+1099.4</f>
        <v>42381.4</v>
      </c>
      <c r="H71" s="207">
        <f>37.4+161.8+502.9+546.2+4592.9</f>
        <v>5841.2</v>
      </c>
      <c r="I71" s="182">
        <f t="shared" si="6"/>
        <v>14500</v>
      </c>
      <c r="J71" s="182">
        <f>8028.6-4500</f>
        <v>3528.6000000000004</v>
      </c>
      <c r="K71" s="182"/>
      <c r="L71" s="206"/>
      <c r="M71" s="206"/>
      <c r="N71" s="182">
        <v>10971.4</v>
      </c>
      <c r="O71" s="206"/>
      <c r="P71" s="206"/>
      <c r="Q71" s="206"/>
      <c r="R71" s="182"/>
      <c r="S71" s="101"/>
      <c r="T71" s="99"/>
    </row>
    <row r="72" spans="1:20" s="1" customFormat="1" ht="27" customHeight="1">
      <c r="A72" s="263">
        <v>41</v>
      </c>
      <c r="B72" s="33" t="s">
        <v>148</v>
      </c>
      <c r="C72" s="209" t="s">
        <v>149</v>
      </c>
      <c r="D72" s="210"/>
      <c r="E72" s="206">
        <v>2020</v>
      </c>
      <c r="F72" s="206">
        <v>2028</v>
      </c>
      <c r="G72" s="182">
        <f>15000-6621.4+6921.4+12482</f>
        <v>27782</v>
      </c>
      <c r="H72" s="207">
        <f>8.2+9.4+123.3+280.1</f>
        <v>421</v>
      </c>
      <c r="I72" s="182">
        <f t="shared" si="6"/>
        <v>200</v>
      </c>
      <c r="J72" s="182"/>
      <c r="K72" s="182"/>
      <c r="L72" s="206"/>
      <c r="M72" s="206"/>
      <c r="N72" s="182">
        <v>200</v>
      </c>
      <c r="O72" s="206"/>
      <c r="P72" s="206"/>
      <c r="Q72" s="206"/>
      <c r="R72" s="206"/>
      <c r="S72" s="99"/>
    </row>
    <row r="73" spans="1:20" s="1" customFormat="1" ht="42.75" hidden="1" customHeight="1">
      <c r="A73" s="263">
        <v>48</v>
      </c>
      <c r="B73" s="33" t="s">
        <v>150</v>
      </c>
      <c r="C73" s="209" t="s">
        <v>151</v>
      </c>
      <c r="D73" s="210"/>
      <c r="E73" s="206">
        <v>2020</v>
      </c>
      <c r="F73" s="206">
        <v>2025</v>
      </c>
      <c r="G73" s="182">
        <f>2000+500+131+1807+562+721</f>
        <v>5721</v>
      </c>
      <c r="H73" s="207">
        <f>11+208.5+3178.7+656.8</f>
        <v>4055</v>
      </c>
      <c r="I73" s="182">
        <f t="shared" si="6"/>
        <v>0</v>
      </c>
      <c r="J73" s="182"/>
      <c r="K73" s="182"/>
      <c r="L73" s="206"/>
      <c r="M73" s="206"/>
      <c r="N73" s="182"/>
      <c r="O73" s="206"/>
      <c r="P73" s="206"/>
      <c r="Q73" s="206"/>
      <c r="R73" s="182"/>
      <c r="S73" s="3"/>
    </row>
    <row r="74" spans="1:20" s="1" customFormat="1" ht="18.75" customHeight="1">
      <c r="A74" s="263">
        <v>42</v>
      </c>
      <c r="B74" s="33" t="s">
        <v>152</v>
      </c>
      <c r="C74" s="209" t="s">
        <v>153</v>
      </c>
      <c r="D74" s="211"/>
      <c r="E74" s="206">
        <v>2024</v>
      </c>
      <c r="F74" s="206">
        <v>2026</v>
      </c>
      <c r="G74" s="182">
        <f>1500+372</f>
        <v>1872</v>
      </c>
      <c r="H74" s="207">
        <f>65.1+1396.7</f>
        <v>1461.8</v>
      </c>
      <c r="I74" s="182">
        <f t="shared" si="6"/>
        <v>74.599999999999994</v>
      </c>
      <c r="J74" s="182"/>
      <c r="K74" s="182"/>
      <c r="L74" s="206"/>
      <c r="M74" s="206"/>
      <c r="N74" s="182">
        <v>74.599999999999994</v>
      </c>
      <c r="O74" s="206"/>
      <c r="P74" s="206"/>
      <c r="Q74" s="206"/>
      <c r="R74" s="182"/>
      <c r="S74" s="3"/>
    </row>
    <row r="75" spans="1:20" s="1" customFormat="1" ht="18.75" hidden="1" customHeight="1">
      <c r="A75" s="263">
        <v>50</v>
      </c>
      <c r="B75" s="33" t="s">
        <v>154</v>
      </c>
      <c r="C75" s="209" t="s">
        <v>155</v>
      </c>
      <c r="D75" s="211"/>
      <c r="E75" s="206">
        <v>2024</v>
      </c>
      <c r="F75" s="206">
        <v>2025</v>
      </c>
      <c r="G75" s="182">
        <f>430+3</f>
        <v>433</v>
      </c>
      <c r="H75" s="207">
        <v>319.5</v>
      </c>
      <c r="I75" s="182">
        <f t="shared" si="6"/>
        <v>0</v>
      </c>
      <c r="J75" s="182"/>
      <c r="K75" s="182"/>
      <c r="L75" s="206"/>
      <c r="M75" s="206"/>
      <c r="N75" s="182"/>
      <c r="O75" s="206"/>
      <c r="P75" s="206"/>
      <c r="Q75" s="206"/>
      <c r="R75" s="182"/>
      <c r="S75" s="3"/>
    </row>
    <row r="76" spans="1:20" s="1" customFormat="1" ht="18.75" hidden="1" customHeight="1">
      <c r="A76" s="263">
        <v>51</v>
      </c>
      <c r="B76" s="33" t="s">
        <v>156</v>
      </c>
      <c r="C76" s="209" t="s">
        <v>157</v>
      </c>
      <c r="D76" s="211"/>
      <c r="E76" s="206">
        <v>2025</v>
      </c>
      <c r="F76" s="206">
        <v>2025</v>
      </c>
      <c r="G76" s="182">
        <f>374+140</f>
        <v>514</v>
      </c>
      <c r="H76" s="207">
        <v>503.2</v>
      </c>
      <c r="I76" s="182">
        <f t="shared" si="6"/>
        <v>0</v>
      </c>
      <c r="J76" s="182"/>
      <c r="K76" s="182"/>
      <c r="L76" s="206"/>
      <c r="M76" s="206"/>
      <c r="N76" s="182"/>
      <c r="O76" s="206"/>
      <c r="P76" s="206"/>
      <c r="Q76" s="206"/>
      <c r="R76" s="182"/>
      <c r="S76" s="3"/>
    </row>
    <row r="77" spans="1:20" s="1" customFormat="1" ht="18.75" customHeight="1">
      <c r="A77" s="263">
        <v>43</v>
      </c>
      <c r="B77" s="33" t="s">
        <v>158</v>
      </c>
      <c r="C77" s="209" t="s">
        <v>159</v>
      </c>
      <c r="D77" s="211"/>
      <c r="E77" s="206">
        <v>2025</v>
      </c>
      <c r="F77" s="206">
        <v>2027</v>
      </c>
      <c r="G77" s="182">
        <v>18000</v>
      </c>
      <c r="H77" s="207">
        <v>1973.4</v>
      </c>
      <c r="I77" s="182">
        <f t="shared" si="6"/>
        <v>3782.9</v>
      </c>
      <c r="J77" s="182">
        <f>1282.9+2500</f>
        <v>3782.9</v>
      </c>
      <c r="K77" s="182"/>
      <c r="L77" s="206"/>
      <c r="M77" s="206"/>
      <c r="N77" s="182"/>
      <c r="O77" s="206"/>
      <c r="P77" s="206"/>
      <c r="Q77" s="206"/>
      <c r="R77" s="182"/>
      <c r="S77" s="3"/>
    </row>
    <row r="78" spans="1:20" s="8" customFormat="1" ht="15.75" customHeight="1">
      <c r="A78" s="264"/>
      <c r="B78" s="83"/>
      <c r="C78" s="208" t="s">
        <v>113</v>
      </c>
      <c r="D78" s="208" t="s">
        <v>160</v>
      </c>
      <c r="E78" s="208"/>
      <c r="F78" s="208"/>
      <c r="G78" s="212">
        <f t="shared" ref="G78:R78" si="7">SUM(G60:G77)</f>
        <v>217282.1</v>
      </c>
      <c r="H78" s="212">
        <f t="shared" si="7"/>
        <v>42637</v>
      </c>
      <c r="I78" s="212">
        <f t="shared" si="7"/>
        <v>23332.9</v>
      </c>
      <c r="J78" s="212">
        <f t="shared" si="7"/>
        <v>8061.5</v>
      </c>
      <c r="K78" s="212">
        <f t="shared" si="7"/>
        <v>0</v>
      </c>
      <c r="L78" s="212">
        <f t="shared" si="7"/>
        <v>0</v>
      </c>
      <c r="M78" s="212">
        <f t="shared" si="7"/>
        <v>0</v>
      </c>
      <c r="N78" s="212">
        <f t="shared" si="7"/>
        <v>15271.4</v>
      </c>
      <c r="O78" s="212">
        <f t="shared" si="7"/>
        <v>0</v>
      </c>
      <c r="P78" s="212">
        <f t="shared" si="7"/>
        <v>0</v>
      </c>
      <c r="Q78" s="212">
        <f t="shared" si="7"/>
        <v>0</v>
      </c>
      <c r="R78" s="212">
        <f t="shared" si="7"/>
        <v>0</v>
      </c>
      <c r="S78" s="105"/>
    </row>
    <row r="79" spans="1:20" s="1" customFormat="1" ht="19.5" customHeight="1">
      <c r="A79" s="265">
        <v>44</v>
      </c>
      <c r="B79" s="33" t="s">
        <v>161</v>
      </c>
      <c r="C79" s="22" t="s">
        <v>162</v>
      </c>
      <c r="D79" s="77"/>
      <c r="E79" s="31">
        <v>2017</v>
      </c>
      <c r="F79" s="31">
        <v>2027</v>
      </c>
      <c r="G79" s="155">
        <v>13547.4</v>
      </c>
      <c r="H79" s="156">
        <v>8320.6</v>
      </c>
      <c r="I79" s="10">
        <f t="shared" ref="I79:I132" si="8">SUM(J79:R79)</f>
        <v>300</v>
      </c>
      <c r="J79" s="10"/>
      <c r="K79" s="10"/>
      <c r="L79" s="31"/>
      <c r="M79" s="31"/>
      <c r="N79" s="13"/>
      <c r="O79" s="10"/>
      <c r="P79" s="11"/>
      <c r="Q79" s="63"/>
      <c r="R79" s="13">
        <v>300</v>
      </c>
    </row>
    <row r="80" spans="1:20" s="1" customFormat="1" ht="30" customHeight="1">
      <c r="A80" s="265">
        <v>45</v>
      </c>
      <c r="B80" s="33" t="s">
        <v>163</v>
      </c>
      <c r="C80" s="22" t="s">
        <v>164</v>
      </c>
      <c r="D80" s="78"/>
      <c r="E80" s="31">
        <v>2022</v>
      </c>
      <c r="F80" s="213">
        <v>2026</v>
      </c>
      <c r="G80" s="214">
        <v>3826</v>
      </c>
      <c r="H80" s="215">
        <v>857.6</v>
      </c>
      <c r="I80" s="157">
        <f t="shared" si="8"/>
        <v>2426</v>
      </c>
      <c r="J80" s="157">
        <v>2030</v>
      </c>
      <c r="K80" s="157"/>
      <c r="L80" s="157"/>
      <c r="M80" s="157"/>
      <c r="N80" s="157"/>
      <c r="O80" s="216"/>
      <c r="P80" s="216"/>
      <c r="Q80" s="217"/>
      <c r="R80" s="218">
        <v>396</v>
      </c>
      <c r="S80" s="99"/>
    </row>
    <row r="81" spans="1:20" s="1" customFormat="1" ht="27.75" customHeight="1">
      <c r="A81" s="265">
        <v>46</v>
      </c>
      <c r="B81" s="33" t="s">
        <v>165</v>
      </c>
      <c r="C81" s="22" t="s">
        <v>166</v>
      </c>
      <c r="D81" s="77"/>
      <c r="E81" s="31">
        <v>2024</v>
      </c>
      <c r="F81" s="213">
        <v>2027</v>
      </c>
      <c r="G81" s="214">
        <v>6467.4</v>
      </c>
      <c r="H81" s="215">
        <v>480.4</v>
      </c>
      <c r="I81" s="157">
        <f t="shared" si="8"/>
        <v>2000</v>
      </c>
      <c r="J81" s="157"/>
      <c r="K81" s="157"/>
      <c r="L81" s="157"/>
      <c r="M81" s="157"/>
      <c r="N81" s="157"/>
      <c r="O81" s="216"/>
      <c r="P81" s="216"/>
      <c r="Q81" s="217"/>
      <c r="R81" s="218">
        <v>2000</v>
      </c>
      <c r="S81" s="98"/>
    </row>
    <row r="82" spans="1:20" s="1" customFormat="1" ht="29.25" customHeight="1">
      <c r="A82" s="265">
        <v>47</v>
      </c>
      <c r="B82" s="185" t="s">
        <v>167</v>
      </c>
      <c r="C82" s="224" t="s">
        <v>168</v>
      </c>
      <c r="D82" s="177" t="s">
        <v>169</v>
      </c>
      <c r="E82" s="174">
        <v>2023</v>
      </c>
      <c r="F82" s="174">
        <v>2027</v>
      </c>
      <c r="G82" s="175">
        <v>3900</v>
      </c>
      <c r="H82" s="176">
        <f>27.4+153.5+31.1</f>
        <v>212</v>
      </c>
      <c r="I82" s="175">
        <f t="shared" si="8"/>
        <v>130</v>
      </c>
      <c r="J82" s="175"/>
      <c r="K82" s="175"/>
      <c r="L82" s="175"/>
      <c r="M82" s="175"/>
      <c r="N82" s="175"/>
      <c r="O82" s="223"/>
      <c r="P82" s="223"/>
      <c r="Q82" s="225"/>
      <c r="R82" s="184">
        <f>38.5+91.5</f>
        <v>130</v>
      </c>
      <c r="S82" s="99"/>
    </row>
    <row r="83" spans="1:20" s="1" customFormat="1" ht="28.5" customHeight="1">
      <c r="A83" s="265">
        <v>48</v>
      </c>
      <c r="B83" s="185" t="s">
        <v>170</v>
      </c>
      <c r="C83" s="224" t="s">
        <v>171</v>
      </c>
      <c r="D83" s="226"/>
      <c r="E83" s="174">
        <v>2020</v>
      </c>
      <c r="F83" s="174">
        <v>2029</v>
      </c>
      <c r="G83" s="227">
        <v>131940.5</v>
      </c>
      <c r="H83" s="228">
        <v>38354.6</v>
      </c>
      <c r="I83" s="175">
        <f t="shared" si="8"/>
        <v>10100</v>
      </c>
      <c r="J83" s="175">
        <v>3750</v>
      </c>
      <c r="K83" s="175"/>
      <c r="L83" s="175"/>
      <c r="M83" s="175"/>
      <c r="N83" s="175">
        <v>6350</v>
      </c>
      <c r="O83" s="223"/>
      <c r="P83" s="223"/>
      <c r="Q83" s="225"/>
      <c r="R83" s="184"/>
      <c r="S83" s="98"/>
    </row>
    <row r="84" spans="1:20" s="1" customFormat="1" ht="30.75" customHeight="1">
      <c r="A84" s="265">
        <v>49</v>
      </c>
      <c r="B84" s="185" t="s">
        <v>172</v>
      </c>
      <c r="C84" s="224" t="s">
        <v>173</v>
      </c>
      <c r="D84" s="226"/>
      <c r="E84" s="174">
        <v>2025</v>
      </c>
      <c r="F84" s="174">
        <v>2029</v>
      </c>
      <c r="G84" s="227">
        <v>3711.7</v>
      </c>
      <c r="H84" s="176">
        <v>0</v>
      </c>
      <c r="I84" s="175">
        <f t="shared" si="8"/>
        <v>80</v>
      </c>
      <c r="J84" s="175">
        <v>80</v>
      </c>
      <c r="K84" s="175"/>
      <c r="L84" s="175"/>
      <c r="M84" s="175"/>
      <c r="N84" s="175"/>
      <c r="O84" s="223"/>
      <c r="P84" s="223"/>
      <c r="Q84" s="225"/>
      <c r="R84" s="184"/>
      <c r="S84" s="98"/>
    </row>
    <row r="85" spans="1:20" s="1" customFormat="1" ht="20.25" hidden="1" customHeight="1">
      <c r="A85" s="265">
        <v>50</v>
      </c>
      <c r="B85" s="185" t="s">
        <v>174</v>
      </c>
      <c r="C85" s="224" t="s">
        <v>175</v>
      </c>
      <c r="D85" s="226"/>
      <c r="E85" s="174">
        <v>2024</v>
      </c>
      <c r="F85" s="174">
        <v>2028</v>
      </c>
      <c r="G85" s="175">
        <v>2900.2</v>
      </c>
      <c r="H85" s="176">
        <v>6.4</v>
      </c>
      <c r="I85" s="175">
        <f t="shared" si="8"/>
        <v>0</v>
      </c>
      <c r="J85" s="175"/>
      <c r="K85" s="175"/>
      <c r="L85" s="175"/>
      <c r="M85" s="175"/>
      <c r="N85" s="175"/>
      <c r="O85" s="223"/>
      <c r="P85" s="223"/>
      <c r="Q85" s="225"/>
      <c r="R85" s="184"/>
      <c r="S85" s="102"/>
    </row>
    <row r="86" spans="1:20" s="1" customFormat="1" ht="23.25" customHeight="1">
      <c r="A86" s="265">
        <v>50</v>
      </c>
      <c r="B86" s="185" t="s">
        <v>176</v>
      </c>
      <c r="C86" s="224" t="s">
        <v>177</v>
      </c>
      <c r="D86" s="226"/>
      <c r="E86" s="174">
        <v>2024</v>
      </c>
      <c r="F86" s="174">
        <v>2031</v>
      </c>
      <c r="G86" s="175">
        <v>161374.29999999999</v>
      </c>
      <c r="H86" s="176">
        <v>86.1</v>
      </c>
      <c r="I86" s="175">
        <f t="shared" si="8"/>
        <v>665.3</v>
      </c>
      <c r="J86" s="175">
        <v>0.3</v>
      </c>
      <c r="K86" s="175"/>
      <c r="L86" s="175"/>
      <c r="M86" s="175"/>
      <c r="N86" s="175"/>
      <c r="O86" s="223"/>
      <c r="P86" s="223"/>
      <c r="Q86" s="225"/>
      <c r="R86" s="184">
        <v>665</v>
      </c>
      <c r="S86" s="98"/>
    </row>
    <row r="87" spans="1:20" s="8" customFormat="1" ht="15" customHeight="1">
      <c r="A87" s="264"/>
      <c r="B87" s="229"/>
      <c r="C87" s="202" t="s">
        <v>113</v>
      </c>
      <c r="D87" s="202" t="s">
        <v>178</v>
      </c>
      <c r="E87" s="202"/>
      <c r="F87" s="202"/>
      <c r="G87" s="203">
        <f t="shared" ref="G87:R87" si="9">SUM(G79:G86)</f>
        <v>327667.5</v>
      </c>
      <c r="H87" s="203">
        <f t="shared" si="9"/>
        <v>48317.7</v>
      </c>
      <c r="I87" s="203">
        <f t="shared" si="9"/>
        <v>15701.3</v>
      </c>
      <c r="J87" s="203">
        <f t="shared" si="9"/>
        <v>5860.3</v>
      </c>
      <c r="K87" s="203">
        <f t="shared" si="9"/>
        <v>0</v>
      </c>
      <c r="L87" s="203">
        <f t="shared" si="9"/>
        <v>0</v>
      </c>
      <c r="M87" s="203">
        <f t="shared" si="9"/>
        <v>0</v>
      </c>
      <c r="N87" s="203">
        <f t="shared" si="9"/>
        <v>6350</v>
      </c>
      <c r="O87" s="203">
        <f t="shared" si="9"/>
        <v>0</v>
      </c>
      <c r="P87" s="203">
        <f t="shared" si="9"/>
        <v>0</v>
      </c>
      <c r="Q87" s="203">
        <f t="shared" si="9"/>
        <v>0</v>
      </c>
      <c r="R87" s="203">
        <f t="shared" si="9"/>
        <v>3491</v>
      </c>
      <c r="S87" s="105"/>
    </row>
    <row r="88" spans="1:20" ht="27" hidden="1" customHeight="1">
      <c r="A88" s="263">
        <v>75</v>
      </c>
      <c r="B88" s="174">
        <v>20502010201</v>
      </c>
      <c r="C88" s="219" t="s">
        <v>179</v>
      </c>
      <c r="D88" s="220"/>
      <c r="E88" s="221">
        <v>2023</v>
      </c>
      <c r="F88" s="221">
        <v>2025</v>
      </c>
      <c r="G88" s="175">
        <f>28000+12000-416</f>
        <v>39584</v>
      </c>
      <c r="H88" s="176">
        <f>15745.3+13793</f>
        <v>29538.3</v>
      </c>
      <c r="I88" s="175">
        <f t="shared" si="8"/>
        <v>0</v>
      </c>
      <c r="J88" s="175"/>
      <c r="K88" s="175"/>
      <c r="L88" s="200"/>
      <c r="M88" s="200"/>
      <c r="N88" s="175"/>
      <c r="O88" s="175"/>
      <c r="P88" s="175"/>
      <c r="Q88" s="175"/>
      <c r="R88" s="175">
        <f>3200-3200</f>
        <v>0</v>
      </c>
      <c r="S88" s="101"/>
    </row>
    <row r="89" spans="1:20" ht="30" customHeight="1">
      <c r="A89" s="263">
        <v>51</v>
      </c>
      <c r="B89" s="174">
        <v>20502030301</v>
      </c>
      <c r="C89" s="219" t="s">
        <v>180</v>
      </c>
      <c r="D89" s="220" t="s">
        <v>181</v>
      </c>
      <c r="E89" s="221">
        <v>2026</v>
      </c>
      <c r="F89" s="221">
        <v>2026</v>
      </c>
      <c r="G89" s="175">
        <f>25000+3545.2+2314.5</f>
        <v>30859.7</v>
      </c>
      <c r="H89" s="222"/>
      <c r="I89" s="175">
        <f t="shared" si="8"/>
        <v>13345.7</v>
      </c>
      <c r="J89" s="175">
        <f>8495.7+400+150+800</f>
        <v>9845.7000000000007</v>
      </c>
      <c r="K89" s="175"/>
      <c r="L89" s="175"/>
      <c r="M89" s="200"/>
      <c r="N89" s="175"/>
      <c r="O89" s="200"/>
      <c r="P89" s="175">
        <v>3000</v>
      </c>
      <c r="Q89" s="175">
        <v>500</v>
      </c>
      <c r="R89" s="175">
        <f>21.9-21.9</f>
        <v>0</v>
      </c>
      <c r="S89" s="104"/>
      <c r="T89" s="3"/>
    </row>
    <row r="90" spans="1:20" ht="32.25" customHeight="1">
      <c r="A90" s="263">
        <v>52</v>
      </c>
      <c r="B90" s="174">
        <v>20502030303</v>
      </c>
      <c r="C90" s="219" t="s">
        <v>182</v>
      </c>
      <c r="D90" s="173"/>
      <c r="E90" s="192">
        <v>2026</v>
      </c>
      <c r="F90" s="221">
        <v>2026</v>
      </c>
      <c r="G90" s="175">
        <f>11500+1423.6+207.8</f>
        <v>13131.4</v>
      </c>
      <c r="H90" s="222"/>
      <c r="I90" s="175">
        <f t="shared" si="8"/>
        <v>1200</v>
      </c>
      <c r="J90" s="223"/>
      <c r="K90" s="175"/>
      <c r="L90" s="175"/>
      <c r="M90" s="200"/>
      <c r="N90" s="175"/>
      <c r="O90" s="200"/>
      <c r="P90" s="175"/>
      <c r="Q90" s="175">
        <v>1200</v>
      </c>
      <c r="R90" s="175"/>
      <c r="S90" s="104"/>
      <c r="T90" s="3"/>
    </row>
    <row r="91" spans="1:20" ht="18.75" customHeight="1">
      <c r="A91" s="263">
        <v>53</v>
      </c>
      <c r="B91" s="174" t="s">
        <v>183</v>
      </c>
      <c r="C91" s="219" t="s">
        <v>184</v>
      </c>
      <c r="D91" s="173"/>
      <c r="E91" s="192">
        <v>2025</v>
      </c>
      <c r="F91" s="221">
        <v>2028</v>
      </c>
      <c r="G91" s="175">
        <v>14674</v>
      </c>
      <c r="H91" s="176">
        <v>667.4</v>
      </c>
      <c r="I91" s="175">
        <f t="shared" si="8"/>
        <v>8856.7999999999993</v>
      </c>
      <c r="J91" s="175">
        <f>4904.5+600</f>
        <v>5504.5</v>
      </c>
      <c r="K91" s="175"/>
      <c r="L91" s="175"/>
      <c r="M91" s="200"/>
      <c r="N91" s="175"/>
      <c r="O91" s="200"/>
      <c r="P91" s="175"/>
      <c r="Q91" s="175">
        <v>3200</v>
      </c>
      <c r="R91" s="175">
        <f>34.8+117.5</f>
        <v>152.30000000000001</v>
      </c>
      <c r="S91" s="104"/>
      <c r="T91" s="3"/>
    </row>
    <row r="92" spans="1:20" ht="40.5" hidden="1" customHeight="1">
      <c r="A92" s="263">
        <v>54</v>
      </c>
      <c r="B92" s="174" t="s">
        <v>185</v>
      </c>
      <c r="C92" s="219" t="s">
        <v>186</v>
      </c>
      <c r="D92" s="173"/>
      <c r="E92" s="192">
        <v>2025</v>
      </c>
      <c r="F92" s="221">
        <v>2025</v>
      </c>
      <c r="G92" s="175">
        <f>2100+30</f>
        <v>2130</v>
      </c>
      <c r="H92" s="176">
        <v>995.8</v>
      </c>
      <c r="I92" s="175">
        <f t="shared" si="8"/>
        <v>0</v>
      </c>
      <c r="J92" s="175">
        <f>720.8-720.8</f>
        <v>0</v>
      </c>
      <c r="K92" s="175"/>
      <c r="L92" s="175"/>
      <c r="M92" s="200"/>
      <c r="N92" s="175"/>
      <c r="O92" s="200"/>
      <c r="P92" s="175"/>
      <c r="Q92" s="175"/>
      <c r="R92" s="175"/>
      <c r="S92" s="101"/>
      <c r="T92" s="3"/>
    </row>
    <row r="93" spans="1:20" ht="17.25" customHeight="1">
      <c r="A93" s="263">
        <v>54</v>
      </c>
      <c r="B93" s="174" t="s">
        <v>187</v>
      </c>
      <c r="C93" s="219" t="s">
        <v>188</v>
      </c>
      <c r="D93" s="173"/>
      <c r="E93" s="192">
        <v>2025</v>
      </c>
      <c r="F93" s="221">
        <v>2026</v>
      </c>
      <c r="G93" s="175">
        <v>6400</v>
      </c>
      <c r="H93" s="176">
        <v>3078.3</v>
      </c>
      <c r="I93" s="175">
        <f t="shared" si="8"/>
        <v>1344</v>
      </c>
      <c r="J93" s="175"/>
      <c r="K93" s="175"/>
      <c r="L93" s="175"/>
      <c r="M93" s="200"/>
      <c r="N93" s="175">
        <f>1344</f>
        <v>1344</v>
      </c>
      <c r="O93" s="200"/>
      <c r="P93" s="175"/>
      <c r="Q93" s="175"/>
      <c r="R93" s="175"/>
      <c r="S93" s="104"/>
      <c r="T93" s="3"/>
    </row>
    <row r="94" spans="1:20" ht="15.75" hidden="1" customHeight="1">
      <c r="A94" s="263">
        <v>81</v>
      </c>
      <c r="B94" s="174" t="s">
        <v>189</v>
      </c>
      <c r="C94" s="219" t="s">
        <v>190</v>
      </c>
      <c r="D94" s="173"/>
      <c r="E94" s="192">
        <v>2025</v>
      </c>
      <c r="F94" s="221">
        <v>2026</v>
      </c>
      <c r="G94" s="175">
        <v>5900</v>
      </c>
      <c r="H94" s="176">
        <v>1029</v>
      </c>
      <c r="I94" s="175">
        <f t="shared" si="8"/>
        <v>0</v>
      </c>
      <c r="J94" s="175"/>
      <c r="K94" s="175"/>
      <c r="L94" s="175"/>
      <c r="M94" s="200"/>
      <c r="N94" s="175"/>
      <c r="O94" s="200"/>
      <c r="P94" s="175"/>
      <c r="Q94" s="175"/>
      <c r="R94" s="175"/>
      <c r="S94" s="104"/>
      <c r="T94" s="3"/>
    </row>
    <row r="95" spans="1:20" ht="30" hidden="1" customHeight="1">
      <c r="A95" s="263">
        <v>82</v>
      </c>
      <c r="B95" s="174">
        <v>20502030304</v>
      </c>
      <c r="C95" s="219" t="s">
        <v>191</v>
      </c>
      <c r="D95" s="173"/>
      <c r="E95" s="192">
        <v>2024</v>
      </c>
      <c r="F95" s="221">
        <v>2025</v>
      </c>
      <c r="G95" s="175">
        <v>13568.7</v>
      </c>
      <c r="H95" s="176">
        <f>1596.7+7639.8</f>
        <v>9236.5</v>
      </c>
      <c r="I95" s="175">
        <f t="shared" si="8"/>
        <v>0</v>
      </c>
      <c r="J95" s="175">
        <f>1000-1000</f>
        <v>0</v>
      </c>
      <c r="K95" s="175"/>
      <c r="L95" s="175"/>
      <c r="M95" s="200"/>
      <c r="N95" s="175"/>
      <c r="O95" s="200"/>
      <c r="P95" s="175"/>
      <c r="Q95" s="175"/>
      <c r="R95" s="175"/>
      <c r="S95" s="3"/>
      <c r="T95" s="3"/>
    </row>
    <row r="96" spans="1:20" ht="15.75" customHeight="1">
      <c r="A96" s="263">
        <v>55</v>
      </c>
      <c r="B96" s="185" t="s">
        <v>192</v>
      </c>
      <c r="C96" s="230" t="s">
        <v>193</v>
      </c>
      <c r="D96" s="231"/>
      <c r="E96" s="192">
        <v>2011</v>
      </c>
      <c r="F96" s="192">
        <v>2026</v>
      </c>
      <c r="G96" s="175">
        <f>1737.7+2000+697.8+2000+5000+4000+512.2+1355.8+931.3</f>
        <v>18234.8</v>
      </c>
      <c r="H96" s="176">
        <f>197+325.7+683.8+929+1000+1503.1+1550.4+1837.7+1649.2+1520.2+3188.2+4064.4</f>
        <v>18448.7</v>
      </c>
      <c r="I96" s="175">
        <f t="shared" si="8"/>
        <v>1500</v>
      </c>
      <c r="J96" s="175">
        <f>1500</f>
        <v>1500</v>
      </c>
      <c r="K96" s="175"/>
      <c r="L96" s="200"/>
      <c r="M96" s="200"/>
      <c r="N96" s="175"/>
      <c r="O96" s="175"/>
      <c r="P96" s="175"/>
      <c r="Q96" s="175"/>
      <c r="R96" s="175"/>
      <c r="S96" s="101"/>
      <c r="T96" s="99"/>
    </row>
    <row r="97" spans="1:20" ht="29.25" customHeight="1">
      <c r="A97" s="263">
        <v>56</v>
      </c>
      <c r="B97" s="185" t="s">
        <v>194</v>
      </c>
      <c r="C97" s="219" t="s">
        <v>195</v>
      </c>
      <c r="D97" s="191"/>
      <c r="E97" s="232">
        <v>2016</v>
      </c>
      <c r="F97" s="233">
        <v>2028</v>
      </c>
      <c r="G97" s="175">
        <f>3909.9+1047.1+615.9+477.1+460+3739.2+258.7+2006.8+1444.1+822</f>
        <v>14780.800000000001</v>
      </c>
      <c r="H97" s="176">
        <f>6.2+117.1+699.4+624.7+93.7+2697.1+4989.5+2483.7+396</f>
        <v>12107.400000000001</v>
      </c>
      <c r="I97" s="175">
        <f t="shared" si="8"/>
        <v>2400</v>
      </c>
      <c r="J97" s="175">
        <v>2400</v>
      </c>
      <c r="K97" s="175"/>
      <c r="L97" s="200"/>
      <c r="M97" s="200"/>
      <c r="N97" s="175"/>
      <c r="O97" s="175"/>
      <c r="P97" s="175"/>
      <c r="Q97" s="200"/>
      <c r="R97" s="175"/>
      <c r="S97" s="3"/>
      <c r="T97" s="99"/>
    </row>
    <row r="98" spans="1:20" ht="46.5" customHeight="1">
      <c r="A98" s="263">
        <v>57</v>
      </c>
      <c r="B98" s="185" t="s">
        <v>196</v>
      </c>
      <c r="C98" s="219" t="s">
        <v>197</v>
      </c>
      <c r="D98" s="191"/>
      <c r="E98" s="232">
        <v>2018</v>
      </c>
      <c r="F98" s="233">
        <v>2027</v>
      </c>
      <c r="G98" s="175">
        <v>17036.5</v>
      </c>
      <c r="H98" s="176">
        <f>965+584.8</f>
        <v>1549.8</v>
      </c>
      <c r="I98" s="175">
        <f t="shared" si="8"/>
        <v>100</v>
      </c>
      <c r="J98" s="175">
        <v>100</v>
      </c>
      <c r="K98" s="175"/>
      <c r="L98" s="200"/>
      <c r="M98" s="200"/>
      <c r="N98" s="175"/>
      <c r="O98" s="175"/>
      <c r="P98" s="175"/>
      <c r="Q98" s="200"/>
      <c r="R98" s="175"/>
      <c r="S98" s="3"/>
      <c r="T98" s="99"/>
    </row>
    <row r="99" spans="1:20" ht="29.25" customHeight="1">
      <c r="A99" s="263">
        <v>58</v>
      </c>
      <c r="B99" s="234" t="s">
        <v>198</v>
      </c>
      <c r="C99" s="235" t="s">
        <v>199</v>
      </c>
      <c r="D99" s="191"/>
      <c r="E99" s="232">
        <v>2021</v>
      </c>
      <c r="F99" s="233">
        <v>2026</v>
      </c>
      <c r="G99" s="223">
        <f>1312-102+49.9+60.7+382.6</f>
        <v>1703.2000000000003</v>
      </c>
      <c r="H99" s="176">
        <f>202.3+871.6+36.3</f>
        <v>1110.2</v>
      </c>
      <c r="I99" s="175">
        <f t="shared" si="8"/>
        <v>593</v>
      </c>
      <c r="J99" s="175"/>
      <c r="K99" s="175"/>
      <c r="L99" s="200"/>
      <c r="M99" s="200"/>
      <c r="N99" s="175">
        <v>593</v>
      </c>
      <c r="O99" s="175"/>
      <c r="P99" s="175"/>
      <c r="Q99" s="200"/>
      <c r="R99" s="175"/>
      <c r="S99" s="3"/>
      <c r="T99" s="99"/>
    </row>
    <row r="100" spans="1:20" ht="29.25" hidden="1" customHeight="1">
      <c r="A100" s="263">
        <v>85</v>
      </c>
      <c r="B100" s="185" t="s">
        <v>200</v>
      </c>
      <c r="C100" s="219" t="s">
        <v>201</v>
      </c>
      <c r="D100" s="191"/>
      <c r="E100" s="232">
        <v>2024</v>
      </c>
      <c r="F100" s="233">
        <v>2025</v>
      </c>
      <c r="G100" s="175">
        <f>3500-500+193.3</f>
        <v>3193.3</v>
      </c>
      <c r="H100" s="176">
        <f>2300+814.2</f>
        <v>3114.2</v>
      </c>
      <c r="I100" s="175">
        <f t="shared" si="8"/>
        <v>0</v>
      </c>
      <c r="J100" s="175"/>
      <c r="K100" s="175"/>
      <c r="L100" s="200"/>
      <c r="M100" s="200"/>
      <c r="N100" s="175"/>
      <c r="O100" s="175"/>
      <c r="P100" s="175"/>
      <c r="Q100" s="200"/>
      <c r="R100" s="223"/>
      <c r="S100" s="104"/>
      <c r="T100" s="99"/>
    </row>
    <row r="101" spans="1:20" ht="29.25" customHeight="1">
      <c r="A101" s="263">
        <v>59</v>
      </c>
      <c r="B101" s="185" t="s">
        <v>202</v>
      </c>
      <c r="C101" s="219" t="s">
        <v>203</v>
      </c>
      <c r="D101" s="191"/>
      <c r="E101" s="232">
        <v>2025</v>
      </c>
      <c r="F101" s="233">
        <v>2026</v>
      </c>
      <c r="G101" s="175">
        <f>14844.5</f>
        <v>14844.5</v>
      </c>
      <c r="H101" s="176">
        <v>199.7</v>
      </c>
      <c r="I101" s="175">
        <f t="shared" si="8"/>
        <v>1573.6</v>
      </c>
      <c r="J101" s="193">
        <v>1573.6</v>
      </c>
      <c r="K101" s="193"/>
      <c r="L101" s="200"/>
      <c r="M101" s="200"/>
      <c r="N101" s="175"/>
      <c r="O101" s="175"/>
      <c r="P101" s="175"/>
      <c r="Q101" s="200"/>
      <c r="R101" s="223"/>
      <c r="S101" s="104"/>
      <c r="T101" s="99"/>
    </row>
    <row r="102" spans="1:20" ht="30.75" hidden="1" customHeight="1">
      <c r="A102" s="263">
        <v>87</v>
      </c>
      <c r="B102" s="234" t="s">
        <v>204</v>
      </c>
      <c r="C102" s="235" t="s">
        <v>205</v>
      </c>
      <c r="D102" s="236"/>
      <c r="E102" s="192">
        <v>2021</v>
      </c>
      <c r="F102" s="192">
        <v>2025</v>
      </c>
      <c r="G102" s="175">
        <f>4221.4-492.4+791.5</f>
        <v>4520.5</v>
      </c>
      <c r="H102" s="176">
        <f>3314.6+640.1+378.5</f>
        <v>4333.2</v>
      </c>
      <c r="I102" s="175">
        <f t="shared" si="8"/>
        <v>0</v>
      </c>
      <c r="J102" s="193"/>
      <c r="K102" s="193"/>
      <c r="L102" s="200"/>
      <c r="M102" s="200"/>
      <c r="N102" s="175"/>
      <c r="O102" s="175"/>
      <c r="P102" s="175"/>
      <c r="Q102" s="200"/>
      <c r="R102" s="175"/>
      <c r="S102" s="3"/>
      <c r="T102" s="99"/>
    </row>
    <row r="103" spans="1:20" ht="18" customHeight="1">
      <c r="A103" s="263">
        <v>60</v>
      </c>
      <c r="B103" s="234" t="s">
        <v>206</v>
      </c>
      <c r="C103" s="235" t="s">
        <v>207</v>
      </c>
      <c r="D103" s="236"/>
      <c r="E103" s="192">
        <v>2022</v>
      </c>
      <c r="F103" s="233">
        <v>2026</v>
      </c>
      <c r="G103" s="223">
        <f>2000+5661.7</f>
        <v>7661.7</v>
      </c>
      <c r="H103" s="176">
        <f>40.9+500</f>
        <v>540.9</v>
      </c>
      <c r="I103" s="175">
        <f t="shared" si="8"/>
        <v>4663.7</v>
      </c>
      <c r="J103" s="193">
        <v>4500</v>
      </c>
      <c r="K103" s="193"/>
      <c r="L103" s="200"/>
      <c r="M103" s="200"/>
      <c r="N103" s="175"/>
      <c r="O103" s="175"/>
      <c r="P103" s="223"/>
      <c r="Q103" s="200"/>
      <c r="R103" s="175">
        <f>21.9+141.8</f>
        <v>163.70000000000002</v>
      </c>
      <c r="S103" s="3"/>
    </row>
    <row r="104" spans="1:20" ht="51" customHeight="1">
      <c r="A104" s="263">
        <v>61</v>
      </c>
      <c r="B104" s="234" t="s">
        <v>208</v>
      </c>
      <c r="C104" s="235" t="s">
        <v>209</v>
      </c>
      <c r="D104" s="191"/>
      <c r="E104" s="192">
        <v>2021</v>
      </c>
      <c r="F104" s="233">
        <v>2026</v>
      </c>
      <c r="G104" s="175">
        <f>17891+3757.1+1815</f>
        <v>23463.1</v>
      </c>
      <c r="H104" s="176">
        <f>440.5+229.8+117.6+38.1</f>
        <v>826</v>
      </c>
      <c r="I104" s="175">
        <f t="shared" si="8"/>
        <v>50</v>
      </c>
      <c r="J104" s="193"/>
      <c r="K104" s="193"/>
      <c r="L104" s="200"/>
      <c r="M104" s="200"/>
      <c r="N104" s="175">
        <v>50</v>
      </c>
      <c r="O104" s="223"/>
      <c r="P104" s="223"/>
      <c r="Q104" s="200"/>
      <c r="R104" s="200"/>
      <c r="S104" s="3"/>
    </row>
    <row r="105" spans="1:20" ht="16.5" customHeight="1">
      <c r="A105" s="263">
        <v>62</v>
      </c>
      <c r="B105" s="234" t="s">
        <v>210</v>
      </c>
      <c r="C105" s="235" t="s">
        <v>211</v>
      </c>
      <c r="D105" s="191"/>
      <c r="E105" s="192">
        <v>2023</v>
      </c>
      <c r="F105" s="233">
        <v>2027</v>
      </c>
      <c r="G105" s="175">
        <v>1500</v>
      </c>
      <c r="H105" s="176">
        <f>99.4+436.9+533.5</f>
        <v>1069.8</v>
      </c>
      <c r="I105" s="175">
        <f t="shared" si="8"/>
        <v>400</v>
      </c>
      <c r="J105" s="193"/>
      <c r="K105" s="193"/>
      <c r="L105" s="200"/>
      <c r="M105" s="200"/>
      <c r="N105" s="175">
        <v>400</v>
      </c>
      <c r="O105" s="223"/>
      <c r="P105" s="223"/>
      <c r="Q105" s="200"/>
      <c r="R105" s="200"/>
      <c r="S105" s="104"/>
    </row>
    <row r="106" spans="1:20" ht="26.25" customHeight="1">
      <c r="A106" s="263">
        <v>63</v>
      </c>
      <c r="B106" s="234" t="s">
        <v>212</v>
      </c>
      <c r="C106" s="235" t="s">
        <v>213</v>
      </c>
      <c r="D106" s="191"/>
      <c r="E106" s="192">
        <v>2025</v>
      </c>
      <c r="F106" s="233">
        <v>2027</v>
      </c>
      <c r="G106" s="175">
        <v>28000</v>
      </c>
      <c r="H106" s="176">
        <v>86.9</v>
      </c>
      <c r="I106" s="175">
        <f t="shared" si="8"/>
        <v>10613</v>
      </c>
      <c r="J106" s="193">
        <f>2000+1000</f>
        <v>3000</v>
      </c>
      <c r="K106" s="193"/>
      <c r="L106" s="200"/>
      <c r="M106" s="200"/>
      <c r="N106" s="175">
        <v>7613</v>
      </c>
      <c r="O106" s="223"/>
      <c r="P106" s="223"/>
      <c r="Q106" s="200"/>
      <c r="R106" s="200"/>
      <c r="S106" s="101"/>
    </row>
    <row r="107" spans="1:20" ht="37.5" customHeight="1">
      <c r="A107" s="263">
        <v>64</v>
      </c>
      <c r="B107" s="174">
        <v>20502040101</v>
      </c>
      <c r="C107" s="172" t="s">
        <v>214</v>
      </c>
      <c r="D107" s="236"/>
      <c r="E107" s="192">
        <v>2004</v>
      </c>
      <c r="F107" s="192">
        <v>2026</v>
      </c>
      <c r="G107" s="175">
        <f>26905.1-13813.6+1548.7+2000+4596+1131+1000+139.8+879.8+800+200+1000+364.3+458.4+2510.4+565.3</f>
        <v>30285.199999999997</v>
      </c>
      <c r="H107" s="176">
        <f>12618.7+67.8+5+470.8+6341.6+1863.3+3383.9+355.6+196.1+1737.4+1772.2</f>
        <v>28812.400000000001</v>
      </c>
      <c r="I107" s="175">
        <f t="shared" si="8"/>
        <v>3719</v>
      </c>
      <c r="J107" s="175">
        <v>3005</v>
      </c>
      <c r="K107" s="175"/>
      <c r="L107" s="175">
        <v>240</v>
      </c>
      <c r="M107" s="200"/>
      <c r="N107" s="175"/>
      <c r="O107" s="200"/>
      <c r="P107" s="200"/>
      <c r="Q107" s="200"/>
      <c r="R107" s="175">
        <v>474</v>
      </c>
      <c r="S107" s="3"/>
    </row>
    <row r="108" spans="1:20">
      <c r="B108" s="174"/>
      <c r="C108" s="237" t="s">
        <v>122</v>
      </c>
      <c r="D108" s="238" t="s">
        <v>215</v>
      </c>
      <c r="E108" s="221"/>
      <c r="F108" s="192"/>
      <c r="G108" s="203">
        <f t="shared" ref="G108:R108" si="10">SUM(G88:G107)</f>
        <v>291471.39999999997</v>
      </c>
      <c r="H108" s="203">
        <f t="shared" si="10"/>
        <v>116744.49999999997</v>
      </c>
      <c r="I108" s="203">
        <f t="shared" si="10"/>
        <v>50358.799999999996</v>
      </c>
      <c r="J108" s="203">
        <f t="shared" si="10"/>
        <v>31428.799999999999</v>
      </c>
      <c r="K108" s="203">
        <f t="shared" si="10"/>
        <v>0</v>
      </c>
      <c r="L108" s="203">
        <f t="shared" si="10"/>
        <v>240</v>
      </c>
      <c r="M108" s="203">
        <f t="shared" si="10"/>
        <v>0</v>
      </c>
      <c r="N108" s="203">
        <f t="shared" si="10"/>
        <v>10000</v>
      </c>
      <c r="O108" s="203">
        <f t="shared" si="10"/>
        <v>0</v>
      </c>
      <c r="P108" s="203">
        <f t="shared" si="10"/>
        <v>3000</v>
      </c>
      <c r="Q108" s="203">
        <f t="shared" si="10"/>
        <v>4900</v>
      </c>
      <c r="R108" s="203">
        <f t="shared" si="10"/>
        <v>790</v>
      </c>
      <c r="S108" s="105"/>
    </row>
    <row r="109" spans="1:20" ht="45.75" customHeight="1">
      <c r="A109" s="263">
        <v>65</v>
      </c>
      <c r="B109" s="174">
        <v>20704010202</v>
      </c>
      <c r="C109" s="239" t="s">
        <v>216</v>
      </c>
      <c r="D109" s="191"/>
      <c r="E109" s="221">
        <v>2016</v>
      </c>
      <c r="F109" s="192">
        <v>2026</v>
      </c>
      <c r="G109" s="175">
        <f>16525.7-5830.7+254.3-2649.9+5580.6+326.1+148.7</f>
        <v>14354.800000000001</v>
      </c>
      <c r="H109" s="176">
        <f>1771.9+3274+2151.5+1477.9+654.2+2404.7+1562.1+360.6</f>
        <v>13656.900000000001</v>
      </c>
      <c r="I109" s="175">
        <f t="shared" si="8"/>
        <v>382.9</v>
      </c>
      <c r="J109" s="175">
        <v>382.9</v>
      </c>
      <c r="K109" s="175"/>
      <c r="L109" s="200"/>
      <c r="M109" s="200"/>
      <c r="N109" s="175"/>
      <c r="O109" s="175"/>
      <c r="P109" s="175"/>
      <c r="Q109" s="200"/>
      <c r="R109" s="175"/>
      <c r="S109" s="104"/>
    </row>
    <row r="110" spans="1:20" ht="18" customHeight="1">
      <c r="A110" s="263">
        <v>66</v>
      </c>
      <c r="B110" s="185" t="s">
        <v>217</v>
      </c>
      <c r="C110" s="240" t="s">
        <v>218</v>
      </c>
      <c r="D110" s="241"/>
      <c r="E110" s="192">
        <v>2006</v>
      </c>
      <c r="F110" s="233">
        <v>2027</v>
      </c>
      <c r="G110" s="223">
        <f>904.3+1095.7+445+3000+379.4+508.2+1000</f>
        <v>7332.5999999999995</v>
      </c>
      <c r="H110" s="176">
        <f>369.3+284.6+80+77.6+188.4+272.4+277+682.2+1000+1182.9+1918.2</f>
        <v>6332.5999999999995</v>
      </c>
      <c r="I110" s="175">
        <f t="shared" si="8"/>
        <v>1000</v>
      </c>
      <c r="J110" s="175">
        <v>1000</v>
      </c>
      <c r="K110" s="175"/>
      <c r="L110" s="200"/>
      <c r="M110" s="200"/>
      <c r="N110" s="175"/>
      <c r="O110" s="175"/>
      <c r="P110" s="175"/>
      <c r="Q110" s="200"/>
      <c r="R110" s="200"/>
      <c r="S110" s="108"/>
    </row>
    <row r="111" spans="1:20" ht="39" customHeight="1">
      <c r="A111" s="263">
        <v>67</v>
      </c>
      <c r="B111" s="185" t="s">
        <v>219</v>
      </c>
      <c r="C111" s="240" t="s">
        <v>220</v>
      </c>
      <c r="D111" s="191" t="s">
        <v>221</v>
      </c>
      <c r="E111" s="192">
        <v>2024</v>
      </c>
      <c r="F111" s="233">
        <v>2026</v>
      </c>
      <c r="G111" s="175">
        <v>3510.3</v>
      </c>
      <c r="H111" s="176">
        <v>2140</v>
      </c>
      <c r="I111" s="175">
        <f t="shared" si="8"/>
        <v>960</v>
      </c>
      <c r="J111" s="175">
        <v>960</v>
      </c>
      <c r="K111" s="175"/>
      <c r="L111" s="200"/>
      <c r="M111" s="200"/>
      <c r="N111" s="175"/>
      <c r="O111" s="175"/>
      <c r="P111" s="175"/>
      <c r="Q111" s="200"/>
      <c r="R111" s="200"/>
      <c r="S111" s="108"/>
    </row>
    <row r="112" spans="1:20" ht="39" hidden="1" customHeight="1">
      <c r="A112" s="263">
        <v>68</v>
      </c>
      <c r="B112" s="185" t="s">
        <v>222</v>
      </c>
      <c r="C112" s="219" t="s">
        <v>223</v>
      </c>
      <c r="D112" s="191"/>
      <c r="E112" s="232">
        <v>2016</v>
      </c>
      <c r="F112" s="233">
        <v>2025</v>
      </c>
      <c r="G112" s="175">
        <f>3736.1+262.6+2020.3+1181+1954.5+793.1</f>
        <v>9947.6</v>
      </c>
      <c r="H112" s="176">
        <f>65.3+57.9+204.6+1610+4674.1+1092.6+491.1+489.2+57.2+278.2</f>
        <v>9020.2000000000025</v>
      </c>
      <c r="I112" s="175">
        <f t="shared" si="8"/>
        <v>0</v>
      </c>
      <c r="J112" s="193"/>
      <c r="K112" s="193"/>
      <c r="L112" s="200"/>
      <c r="M112" s="200"/>
      <c r="N112" s="175"/>
      <c r="O112" s="175"/>
      <c r="P112" s="175"/>
      <c r="Q112" s="200"/>
      <c r="R112" s="200"/>
    </row>
    <row r="113" spans="1:20" ht="30.75" customHeight="1">
      <c r="A113" s="263">
        <v>68</v>
      </c>
      <c r="B113" s="234" t="s">
        <v>224</v>
      </c>
      <c r="C113" s="235" t="s">
        <v>225</v>
      </c>
      <c r="D113" s="241"/>
      <c r="E113" s="232">
        <v>2020</v>
      </c>
      <c r="F113" s="233">
        <v>2026</v>
      </c>
      <c r="G113" s="175">
        <f>60+20+100+60-30+9.6+1.1+123.8-0.4</f>
        <v>344.1</v>
      </c>
      <c r="H113" s="176">
        <f>60+114.6+26.1+71.7+45.6</f>
        <v>318</v>
      </c>
      <c r="I113" s="175">
        <f t="shared" si="8"/>
        <v>26.1</v>
      </c>
      <c r="J113" s="193">
        <v>26.1</v>
      </c>
      <c r="K113" s="193"/>
      <c r="L113" s="200"/>
      <c r="M113" s="200"/>
      <c r="N113" s="175"/>
      <c r="O113" s="223"/>
      <c r="P113" s="223"/>
      <c r="Q113" s="200"/>
      <c r="R113" s="200"/>
      <c r="S113" s="109"/>
    </row>
    <row r="114" spans="1:20" ht="28.5" customHeight="1">
      <c r="A114" s="263">
        <v>69</v>
      </c>
      <c r="B114" s="234" t="s">
        <v>226</v>
      </c>
      <c r="C114" s="235" t="s">
        <v>227</v>
      </c>
      <c r="D114" s="241"/>
      <c r="E114" s="232">
        <v>2023</v>
      </c>
      <c r="F114" s="233">
        <v>2026</v>
      </c>
      <c r="G114" s="175">
        <f>500+117.5+893.5</f>
        <v>1511</v>
      </c>
      <c r="H114" s="175">
        <f>58.1+96</f>
        <v>154.1</v>
      </c>
      <c r="I114" s="175">
        <f t="shared" si="8"/>
        <v>1086.7</v>
      </c>
      <c r="J114" s="193"/>
      <c r="K114" s="193"/>
      <c r="L114" s="200"/>
      <c r="M114" s="200"/>
      <c r="N114" s="193">
        <v>265.00000000000006</v>
      </c>
      <c r="O114" s="175">
        <v>821.7</v>
      </c>
      <c r="P114" s="223"/>
      <c r="Q114" s="200"/>
      <c r="R114" s="200"/>
      <c r="S114" s="3"/>
    </row>
    <row r="115" spans="1:20" ht="37.5" customHeight="1">
      <c r="A115" s="263">
        <v>70</v>
      </c>
      <c r="B115" s="234" t="s">
        <v>228</v>
      </c>
      <c r="C115" s="224" t="s">
        <v>229</v>
      </c>
      <c r="D115" s="191" t="s">
        <v>221</v>
      </c>
      <c r="E115" s="242">
        <v>2023</v>
      </c>
      <c r="F115" s="174">
        <v>2026</v>
      </c>
      <c r="G115" s="175">
        <f>1400+941.6</f>
        <v>2341.6</v>
      </c>
      <c r="H115" s="176">
        <f>16.4+1168.5</f>
        <v>1184.9000000000001</v>
      </c>
      <c r="I115" s="175">
        <f t="shared" si="8"/>
        <v>326.2</v>
      </c>
      <c r="J115" s="175"/>
      <c r="K115" s="175"/>
      <c r="L115" s="200"/>
      <c r="M115" s="200"/>
      <c r="N115" s="175">
        <v>48</v>
      </c>
      <c r="O115" s="175">
        <v>275</v>
      </c>
      <c r="P115" s="223"/>
      <c r="Q115" s="200"/>
      <c r="R115" s="175">
        <v>3.2</v>
      </c>
      <c r="S115" s="104"/>
    </row>
    <row r="116" spans="1:20" ht="21.75" customHeight="1">
      <c r="A116" s="263">
        <v>71</v>
      </c>
      <c r="B116" s="234" t="s">
        <v>230</v>
      </c>
      <c r="C116" s="224" t="s">
        <v>231</v>
      </c>
      <c r="D116" s="243"/>
      <c r="E116" s="242">
        <v>2024</v>
      </c>
      <c r="F116" s="174">
        <v>2027</v>
      </c>
      <c r="G116" s="175">
        <v>8000</v>
      </c>
      <c r="H116" s="176">
        <f>214.4+679.3</f>
        <v>893.69999999999993</v>
      </c>
      <c r="I116" s="175">
        <f t="shared" si="8"/>
        <v>750</v>
      </c>
      <c r="J116" s="175"/>
      <c r="K116" s="175"/>
      <c r="L116" s="200"/>
      <c r="M116" s="200"/>
      <c r="N116" s="175">
        <v>750</v>
      </c>
      <c r="O116" s="223"/>
      <c r="P116" s="223"/>
      <c r="Q116" s="200"/>
      <c r="R116" s="200"/>
      <c r="S116" s="101"/>
      <c r="T116" s="108"/>
    </row>
    <row r="117" spans="1:20" ht="26.25" customHeight="1">
      <c r="A117" s="263">
        <v>72</v>
      </c>
      <c r="B117" s="234" t="s">
        <v>232</v>
      </c>
      <c r="C117" s="224" t="s">
        <v>233</v>
      </c>
      <c r="D117" s="243"/>
      <c r="E117" s="242">
        <v>2025</v>
      </c>
      <c r="F117" s="174">
        <v>2026</v>
      </c>
      <c r="G117" s="175">
        <v>1280</v>
      </c>
      <c r="H117" s="176">
        <v>892.8</v>
      </c>
      <c r="I117" s="175">
        <f t="shared" si="8"/>
        <v>151</v>
      </c>
      <c r="J117" s="175"/>
      <c r="K117" s="175"/>
      <c r="L117" s="200"/>
      <c r="M117" s="200"/>
      <c r="N117" s="175">
        <v>151</v>
      </c>
      <c r="O117" s="175"/>
      <c r="P117" s="223"/>
      <c r="Q117" s="200"/>
      <c r="R117" s="200"/>
      <c r="S117" s="101"/>
      <c r="T117" s="108"/>
    </row>
    <row r="118" spans="1:20" ht="21.75" customHeight="1">
      <c r="A118" s="263">
        <v>73</v>
      </c>
      <c r="B118" s="234" t="s">
        <v>234</v>
      </c>
      <c r="C118" s="224" t="s">
        <v>235</v>
      </c>
      <c r="D118" s="243"/>
      <c r="E118" s="242">
        <v>2025</v>
      </c>
      <c r="F118" s="174">
        <v>2026</v>
      </c>
      <c r="G118" s="175">
        <v>2037.5</v>
      </c>
      <c r="H118" s="176">
        <v>1207.4000000000001</v>
      </c>
      <c r="I118" s="175">
        <f t="shared" si="8"/>
        <v>384.3</v>
      </c>
      <c r="J118" s="175"/>
      <c r="K118" s="175"/>
      <c r="L118" s="200"/>
      <c r="M118" s="200"/>
      <c r="N118" s="175">
        <v>200</v>
      </c>
      <c r="O118" s="175">
        <v>184.3</v>
      </c>
      <c r="P118" s="223"/>
      <c r="Q118" s="200"/>
      <c r="R118" s="200"/>
      <c r="S118" s="101"/>
      <c r="T118" s="108"/>
    </row>
    <row r="119" spans="1:20" ht="25.5" customHeight="1">
      <c r="A119" s="263">
        <v>74</v>
      </c>
      <c r="B119" s="234" t="s">
        <v>236</v>
      </c>
      <c r="C119" s="224" t="s">
        <v>237</v>
      </c>
      <c r="D119" s="243"/>
      <c r="E119" s="242">
        <v>2025</v>
      </c>
      <c r="F119" s="174">
        <v>2026</v>
      </c>
      <c r="G119" s="175">
        <v>2094.6</v>
      </c>
      <c r="H119" s="176">
        <v>491.2</v>
      </c>
      <c r="I119" s="175">
        <f>SUM(J119:R119)</f>
        <v>2420</v>
      </c>
      <c r="J119" s="175"/>
      <c r="K119" s="175"/>
      <c r="L119" s="200"/>
      <c r="M119" s="200"/>
      <c r="N119" s="227">
        <v>1050</v>
      </c>
      <c r="O119" s="227">
        <v>1370</v>
      </c>
      <c r="P119" s="223"/>
      <c r="Q119" s="200"/>
      <c r="R119" s="200"/>
      <c r="S119" s="101"/>
      <c r="T119" s="108"/>
    </row>
    <row r="120" spans="1:20" ht="21.75" customHeight="1">
      <c r="A120" s="263">
        <v>75</v>
      </c>
      <c r="B120" s="234" t="s">
        <v>238</v>
      </c>
      <c r="C120" s="224" t="s">
        <v>239</v>
      </c>
      <c r="D120" s="243"/>
      <c r="E120" s="242">
        <v>2025</v>
      </c>
      <c r="F120" s="174">
        <v>2026</v>
      </c>
      <c r="G120" s="175">
        <v>2231</v>
      </c>
      <c r="H120" s="176">
        <v>78.400000000000006</v>
      </c>
      <c r="I120" s="175">
        <f t="shared" si="8"/>
        <v>923.3</v>
      </c>
      <c r="J120" s="175"/>
      <c r="K120" s="175"/>
      <c r="L120" s="200"/>
      <c r="M120" s="200"/>
      <c r="N120" s="175">
        <v>300</v>
      </c>
      <c r="O120" s="175">
        <v>623.29999999999995</v>
      </c>
      <c r="P120" s="223"/>
      <c r="Q120" s="200"/>
      <c r="R120" s="200"/>
      <c r="S120" s="3"/>
      <c r="T120" s="108"/>
    </row>
    <row r="121" spans="1:20" ht="27.75" customHeight="1">
      <c r="A121" s="263">
        <v>76</v>
      </c>
      <c r="B121" s="234" t="s">
        <v>240</v>
      </c>
      <c r="C121" s="224" t="s">
        <v>241</v>
      </c>
      <c r="D121" s="243"/>
      <c r="E121" s="242">
        <v>2025</v>
      </c>
      <c r="F121" s="174">
        <v>2027</v>
      </c>
      <c r="G121" s="223">
        <f>1167.4+42.5</f>
        <v>1209.9000000000001</v>
      </c>
      <c r="H121" s="176">
        <v>16</v>
      </c>
      <c r="I121" s="175">
        <f t="shared" si="8"/>
        <v>693.9</v>
      </c>
      <c r="J121" s="175"/>
      <c r="K121" s="175"/>
      <c r="L121" s="200"/>
      <c r="M121" s="200"/>
      <c r="N121" s="175">
        <v>400</v>
      </c>
      <c r="O121" s="175">
        <v>293.89999999999998</v>
      </c>
      <c r="P121" s="223"/>
      <c r="Q121" s="200"/>
      <c r="R121" s="200"/>
      <c r="S121" s="3"/>
      <c r="T121" s="108"/>
    </row>
    <row r="122" spans="1:20" ht="25.5" customHeight="1">
      <c r="A122" s="263">
        <v>77</v>
      </c>
      <c r="B122" s="234">
        <v>20708010508</v>
      </c>
      <c r="C122" s="224" t="s">
        <v>242</v>
      </c>
      <c r="D122" s="243"/>
      <c r="E122" s="242">
        <v>2026</v>
      </c>
      <c r="F122" s="174">
        <v>2027</v>
      </c>
      <c r="G122" s="175">
        <v>3200</v>
      </c>
      <c r="H122" s="176"/>
      <c r="I122" s="175">
        <f t="shared" si="8"/>
        <v>780.5</v>
      </c>
      <c r="J122" s="175"/>
      <c r="K122" s="175"/>
      <c r="L122" s="200"/>
      <c r="M122" s="200"/>
      <c r="N122" s="175">
        <v>500</v>
      </c>
      <c r="O122" s="175">
        <v>280.5</v>
      </c>
      <c r="P122" s="223"/>
      <c r="Q122" s="200"/>
      <c r="R122" s="200"/>
      <c r="S122" s="3"/>
      <c r="T122" s="108"/>
    </row>
    <row r="123" spans="1:20" ht="24.75" customHeight="1">
      <c r="A123" s="263">
        <v>78</v>
      </c>
      <c r="B123" s="234">
        <v>20708010509</v>
      </c>
      <c r="C123" s="224" t="s">
        <v>243</v>
      </c>
      <c r="D123" s="243"/>
      <c r="E123" s="242">
        <v>2026</v>
      </c>
      <c r="F123" s="174">
        <v>2027</v>
      </c>
      <c r="G123" s="175">
        <v>2600</v>
      </c>
      <c r="H123" s="176"/>
      <c r="I123" s="175">
        <f t="shared" si="8"/>
        <v>903.5</v>
      </c>
      <c r="J123" s="175"/>
      <c r="K123" s="175"/>
      <c r="L123" s="200"/>
      <c r="M123" s="200"/>
      <c r="N123" s="175">
        <v>300</v>
      </c>
      <c r="O123" s="175">
        <v>603.5</v>
      </c>
      <c r="P123" s="223"/>
      <c r="Q123" s="200"/>
      <c r="R123" s="200"/>
      <c r="S123" s="3"/>
      <c r="T123" s="108"/>
    </row>
    <row r="124" spans="1:20" ht="24.75" customHeight="1">
      <c r="A124" s="263">
        <v>79</v>
      </c>
      <c r="B124" s="234" t="s">
        <v>244</v>
      </c>
      <c r="C124" s="224" t="s">
        <v>245</v>
      </c>
      <c r="D124" s="243"/>
      <c r="E124" s="242">
        <v>2025</v>
      </c>
      <c r="F124" s="174">
        <v>2027</v>
      </c>
      <c r="G124" s="175">
        <v>2000</v>
      </c>
      <c r="H124" s="176">
        <v>21.7</v>
      </c>
      <c r="I124" s="175">
        <f t="shared" si="8"/>
        <v>1109.5</v>
      </c>
      <c r="J124" s="175"/>
      <c r="K124" s="175"/>
      <c r="L124" s="200"/>
      <c r="M124" s="200"/>
      <c r="N124" s="175">
        <v>300</v>
      </c>
      <c r="O124" s="175">
        <v>809.5</v>
      </c>
      <c r="P124" s="223"/>
      <c r="Q124" s="200"/>
      <c r="R124" s="200"/>
      <c r="S124" s="3"/>
      <c r="T124" s="108"/>
    </row>
    <row r="125" spans="1:20" ht="27.75" customHeight="1">
      <c r="A125" s="263">
        <v>80</v>
      </c>
      <c r="B125" s="234">
        <v>20708010511</v>
      </c>
      <c r="C125" s="224" t="s">
        <v>246</v>
      </c>
      <c r="D125" s="243"/>
      <c r="E125" s="242">
        <v>2025</v>
      </c>
      <c r="F125" s="174">
        <v>2027</v>
      </c>
      <c r="G125" s="175">
        <v>1193</v>
      </c>
      <c r="H125" s="176">
        <v>21.7</v>
      </c>
      <c r="I125" s="175">
        <f t="shared" si="8"/>
        <v>649.29999999999995</v>
      </c>
      <c r="J125" s="175"/>
      <c r="K125" s="175"/>
      <c r="L125" s="200"/>
      <c r="M125" s="200"/>
      <c r="N125" s="175">
        <v>200</v>
      </c>
      <c r="O125" s="175">
        <v>449.3</v>
      </c>
      <c r="P125" s="223"/>
      <c r="Q125" s="200"/>
      <c r="R125" s="200"/>
      <c r="S125" s="3"/>
      <c r="T125" s="108"/>
    </row>
    <row r="126" spans="1:20" ht="30" customHeight="1">
      <c r="A126" s="263">
        <v>81</v>
      </c>
      <c r="B126" s="234">
        <v>20708010512</v>
      </c>
      <c r="C126" s="224" t="s">
        <v>247</v>
      </c>
      <c r="D126" s="243"/>
      <c r="E126" s="242">
        <v>2026</v>
      </c>
      <c r="F126" s="174">
        <v>2027</v>
      </c>
      <c r="G126" s="175">
        <v>800</v>
      </c>
      <c r="H126" s="176"/>
      <c r="I126" s="175">
        <f t="shared" si="8"/>
        <v>700</v>
      </c>
      <c r="J126" s="175"/>
      <c r="K126" s="175"/>
      <c r="L126" s="200"/>
      <c r="M126" s="200"/>
      <c r="N126" s="175">
        <v>300</v>
      </c>
      <c r="O126" s="175">
        <v>400</v>
      </c>
      <c r="P126" s="223"/>
      <c r="Q126" s="200"/>
      <c r="R126" s="200"/>
      <c r="S126" s="3"/>
      <c r="T126" s="108"/>
    </row>
    <row r="127" spans="1:20" ht="25.5" customHeight="1">
      <c r="A127" s="263">
        <v>82</v>
      </c>
      <c r="B127" s="234" t="s">
        <v>248</v>
      </c>
      <c r="C127" s="224" t="s">
        <v>249</v>
      </c>
      <c r="D127" s="241"/>
      <c r="E127" s="242">
        <v>2025</v>
      </c>
      <c r="F127" s="174">
        <v>2026</v>
      </c>
      <c r="G127" s="175">
        <v>11951.9</v>
      </c>
      <c r="H127" s="176">
        <v>3742.1</v>
      </c>
      <c r="I127" s="175">
        <f t="shared" si="8"/>
        <v>7498.6</v>
      </c>
      <c r="J127" s="175">
        <v>551</v>
      </c>
      <c r="K127" s="175"/>
      <c r="L127" s="200"/>
      <c r="M127" s="200"/>
      <c r="N127" s="175">
        <v>3000</v>
      </c>
      <c r="O127" s="175">
        <v>1892.8</v>
      </c>
      <c r="P127" s="223"/>
      <c r="Q127" s="200"/>
      <c r="R127" s="175">
        <v>2054.8000000000002</v>
      </c>
      <c r="S127" s="101"/>
      <c r="T127" s="108"/>
    </row>
    <row r="128" spans="1:20" ht="25.5" customHeight="1">
      <c r="A128" s="263">
        <v>83</v>
      </c>
      <c r="B128" s="234" t="s">
        <v>250</v>
      </c>
      <c r="C128" s="224" t="s">
        <v>251</v>
      </c>
      <c r="D128" s="241"/>
      <c r="E128" s="242">
        <v>2025</v>
      </c>
      <c r="F128" s="174">
        <v>2026</v>
      </c>
      <c r="G128" s="175">
        <v>4912.1000000000004</v>
      </c>
      <c r="H128" s="176"/>
      <c r="I128" s="175">
        <f t="shared" si="8"/>
        <v>4765</v>
      </c>
      <c r="J128" s="175">
        <v>1995.7</v>
      </c>
      <c r="K128" s="175"/>
      <c r="L128" s="200"/>
      <c r="M128" s="200"/>
      <c r="N128" s="175">
        <v>1000</v>
      </c>
      <c r="O128" s="175">
        <v>1769.3</v>
      </c>
      <c r="P128" s="223"/>
      <c r="Q128" s="200"/>
      <c r="R128" s="200"/>
      <c r="S128" s="101"/>
      <c r="T128" s="108"/>
    </row>
    <row r="129" spans="1:20" ht="22.5" customHeight="1">
      <c r="A129" s="263">
        <v>84</v>
      </c>
      <c r="B129" s="234" t="s">
        <v>252</v>
      </c>
      <c r="C129" s="224" t="s">
        <v>253</v>
      </c>
      <c r="D129" s="241"/>
      <c r="E129" s="242">
        <v>2025</v>
      </c>
      <c r="F129" s="174">
        <v>2027</v>
      </c>
      <c r="G129" s="175">
        <v>5300</v>
      </c>
      <c r="H129" s="176">
        <v>38.4</v>
      </c>
      <c r="I129" s="175">
        <f t="shared" si="8"/>
        <v>2300</v>
      </c>
      <c r="J129" s="175"/>
      <c r="K129" s="175"/>
      <c r="L129" s="200"/>
      <c r="M129" s="200"/>
      <c r="N129" s="175">
        <v>2300</v>
      </c>
      <c r="O129" s="175"/>
      <c r="P129" s="223"/>
      <c r="Q129" s="200"/>
      <c r="R129" s="200"/>
      <c r="S129" s="101"/>
      <c r="T129" s="108"/>
    </row>
    <row r="130" spans="1:20" ht="27.75" customHeight="1">
      <c r="A130" s="263">
        <v>85</v>
      </c>
      <c r="B130" s="234" t="s">
        <v>254</v>
      </c>
      <c r="C130" s="224" t="s">
        <v>255</v>
      </c>
      <c r="D130" s="241"/>
      <c r="E130" s="242">
        <v>2026</v>
      </c>
      <c r="F130" s="174">
        <v>2028</v>
      </c>
      <c r="G130" s="223">
        <v>20944.7</v>
      </c>
      <c r="H130" s="176"/>
      <c r="I130" s="175">
        <f t="shared" si="8"/>
        <v>1500</v>
      </c>
      <c r="J130" s="175"/>
      <c r="K130" s="175"/>
      <c r="L130" s="200"/>
      <c r="M130" s="200"/>
      <c r="N130" s="175">
        <v>1500</v>
      </c>
      <c r="O130" s="175"/>
      <c r="P130" s="223"/>
      <c r="Q130" s="200"/>
      <c r="R130" s="200"/>
      <c r="S130" s="101"/>
      <c r="T130" s="108"/>
    </row>
    <row r="131" spans="1:20" ht="25.5" customHeight="1">
      <c r="A131" s="263">
        <v>86</v>
      </c>
      <c r="B131" s="234" t="s">
        <v>256</v>
      </c>
      <c r="C131" s="224" t="s">
        <v>257</v>
      </c>
      <c r="D131" s="244"/>
      <c r="E131" s="245">
        <v>2026</v>
      </c>
      <c r="F131" s="246">
        <v>2028</v>
      </c>
      <c r="G131" s="167">
        <v>9731.1</v>
      </c>
      <c r="H131" s="247"/>
      <c r="I131" s="170">
        <f t="shared" si="8"/>
        <v>136</v>
      </c>
      <c r="J131" s="170"/>
      <c r="K131" s="170"/>
      <c r="L131" s="248"/>
      <c r="M131" s="248"/>
      <c r="N131" s="166">
        <v>136</v>
      </c>
      <c r="O131" s="167">
        <f>86-86</f>
        <v>0</v>
      </c>
      <c r="P131" s="249"/>
      <c r="Q131" s="248"/>
      <c r="R131" s="248"/>
      <c r="S131" s="101"/>
      <c r="T131" s="108"/>
    </row>
    <row r="132" spans="1:20" ht="27.75" customHeight="1">
      <c r="A132" s="263">
        <v>87</v>
      </c>
      <c r="B132" s="234" t="s">
        <v>258</v>
      </c>
      <c r="C132" s="224" t="s">
        <v>259</v>
      </c>
      <c r="D132" s="244"/>
      <c r="E132" s="245">
        <v>2026</v>
      </c>
      <c r="F132" s="246">
        <v>2028</v>
      </c>
      <c r="G132" s="167">
        <v>4150</v>
      </c>
      <c r="H132" s="247"/>
      <c r="I132" s="170">
        <f t="shared" si="8"/>
        <v>300</v>
      </c>
      <c r="J132" s="170"/>
      <c r="K132" s="170"/>
      <c r="L132" s="248"/>
      <c r="M132" s="248"/>
      <c r="N132" s="166">
        <v>300</v>
      </c>
      <c r="O132" s="167">
        <f>320-320</f>
        <v>0</v>
      </c>
      <c r="P132" s="249"/>
      <c r="Q132" s="248"/>
      <c r="R132" s="248"/>
      <c r="S132" s="101"/>
      <c r="T132" s="108"/>
    </row>
    <row r="133" spans="1:20">
      <c r="A133" s="94"/>
      <c r="B133" s="171"/>
      <c r="C133" s="250" t="s">
        <v>113</v>
      </c>
      <c r="D133" s="251" t="s">
        <v>260</v>
      </c>
      <c r="E133" s="252"/>
      <c r="F133" s="253"/>
      <c r="G133" s="254">
        <f t="shared" ref="G133:R133" si="11">SUM(G109:G132)</f>
        <v>122977.8</v>
      </c>
      <c r="H133" s="254">
        <f t="shared" si="11"/>
        <v>40210.1</v>
      </c>
      <c r="I133" s="254">
        <f t="shared" si="11"/>
        <v>29746.799999999999</v>
      </c>
      <c r="J133" s="254">
        <f t="shared" si="11"/>
        <v>4915.7</v>
      </c>
      <c r="K133" s="254">
        <f t="shared" si="11"/>
        <v>0</v>
      </c>
      <c r="L133" s="254">
        <f t="shared" si="11"/>
        <v>0</v>
      </c>
      <c r="M133" s="254">
        <f t="shared" si="11"/>
        <v>0</v>
      </c>
      <c r="N133" s="254">
        <f t="shared" si="11"/>
        <v>13000</v>
      </c>
      <c r="O133" s="254">
        <f t="shared" si="11"/>
        <v>9773.1</v>
      </c>
      <c r="P133" s="254">
        <f t="shared" si="11"/>
        <v>0</v>
      </c>
      <c r="Q133" s="254">
        <f t="shared" si="11"/>
        <v>0</v>
      </c>
      <c r="R133" s="254">
        <f t="shared" si="11"/>
        <v>2058</v>
      </c>
      <c r="S133" s="105"/>
    </row>
    <row r="134" spans="1:20">
      <c r="A134" s="94"/>
      <c r="B134" s="171"/>
      <c r="C134" s="288" t="s">
        <v>261</v>
      </c>
      <c r="D134" s="289"/>
      <c r="E134" s="289"/>
      <c r="F134" s="290"/>
      <c r="G134" s="254">
        <f t="shared" ref="G134:R134" si="12">SUM(G55+G59+G78+G87+G108+G133)</f>
        <v>1501870.8</v>
      </c>
      <c r="H134" s="254">
        <f t="shared" si="12"/>
        <v>359531.6</v>
      </c>
      <c r="I134" s="254">
        <f t="shared" si="12"/>
        <v>146833.69999999998</v>
      </c>
      <c r="J134" s="254">
        <f t="shared" si="12"/>
        <v>61721.399999999994</v>
      </c>
      <c r="K134" s="254">
        <f t="shared" si="12"/>
        <v>0</v>
      </c>
      <c r="L134" s="254">
        <f t="shared" si="12"/>
        <v>240</v>
      </c>
      <c r="M134" s="254">
        <f t="shared" si="12"/>
        <v>1800</v>
      </c>
      <c r="N134" s="254">
        <f t="shared" si="12"/>
        <v>55350</v>
      </c>
      <c r="O134" s="254">
        <f t="shared" si="12"/>
        <v>11206.8</v>
      </c>
      <c r="P134" s="254">
        <f t="shared" si="12"/>
        <v>3000</v>
      </c>
      <c r="Q134" s="254">
        <f t="shared" si="12"/>
        <v>4900</v>
      </c>
      <c r="R134" s="254">
        <f t="shared" si="12"/>
        <v>8615.5</v>
      </c>
      <c r="S134" s="105"/>
      <c r="T134" s="110"/>
    </row>
    <row r="135" spans="1:20">
      <c r="A135" s="113"/>
      <c r="B135" s="113"/>
      <c r="C135" s="113"/>
      <c r="D135" s="113"/>
      <c r="E135" s="114"/>
      <c r="F135" s="114"/>
      <c r="G135" s="115"/>
      <c r="H135" s="115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</row>
    <row r="136" spans="1:20">
      <c r="B136" s="14" t="s">
        <v>262</v>
      </c>
    </row>
    <row r="137" spans="1:20" ht="14.25" customHeight="1">
      <c r="B137" s="14" t="s">
        <v>263</v>
      </c>
    </row>
    <row r="138" spans="1:20">
      <c r="B138" s="1" t="s">
        <v>264</v>
      </c>
    </row>
    <row r="139" spans="1:20">
      <c r="A139" s="4"/>
      <c r="B139" s="4"/>
      <c r="C139" s="4"/>
      <c r="D139" s="4"/>
      <c r="E139" s="16"/>
      <c r="F139" s="16"/>
      <c r="G139" s="17"/>
      <c r="H139" s="17"/>
    </row>
  </sheetData>
  <mergeCells count="10">
    <mergeCell ref="A7:R7"/>
    <mergeCell ref="C134:F134"/>
    <mergeCell ref="I9:I10"/>
    <mergeCell ref="A9:A10"/>
    <mergeCell ref="B9:B10"/>
    <mergeCell ref="C9:C10"/>
    <mergeCell ref="D9:D10"/>
    <mergeCell ref="E9:F9"/>
    <mergeCell ref="G9:G10"/>
    <mergeCell ref="H9:H10"/>
  </mergeCells>
  <phoneticPr fontId="12" type="noConversion"/>
  <pageMargins left="0.19685039370078741" right="0.19685039370078741" top="0.19685039370078741" bottom="0.19685039370078741" header="0.31496062992125984" footer="0.31496062992125984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38F4-8B4B-4FDE-A6EC-4F1FD0703496}">
  <sheetPr>
    <pageSetUpPr fitToPage="1"/>
  </sheetPr>
  <dimension ref="A1:R233"/>
  <sheetViews>
    <sheetView topLeftCell="A104" zoomScale="70" zoomScaleNormal="70" workbookViewId="0">
      <selection activeCell="Y129" sqref="Y129"/>
    </sheetView>
  </sheetViews>
  <sheetFormatPr defaultColWidth="14.44140625" defaultRowHeight="13.2"/>
  <cols>
    <col min="1" max="1" width="5.6640625" style="1" customWidth="1"/>
    <col min="2" max="2" width="13.33203125" style="1" customWidth="1"/>
    <col min="3" max="3" width="35" style="36" customWidth="1"/>
    <col min="4" max="4" width="12.33203125" style="1" customWidth="1"/>
    <col min="5" max="5" width="12.88671875" style="3" bestFit="1" customWidth="1"/>
    <col min="6" max="6" width="20.6640625" style="37" customWidth="1"/>
    <col min="7" max="18" width="8.6640625" style="1" customWidth="1"/>
    <col min="19" max="19" width="10.109375" style="1" customWidth="1"/>
    <col min="20" max="16384" width="14.44140625" style="1"/>
  </cols>
  <sheetData>
    <row r="1" spans="1:18" ht="15.6">
      <c r="O1" s="38" t="s">
        <v>265</v>
      </c>
      <c r="Q1" s="8"/>
    </row>
    <row r="2" spans="1:18" ht="15.6">
      <c r="O2" s="38" t="s">
        <v>266</v>
      </c>
      <c r="P2" s="38"/>
      <c r="Q2" s="8"/>
    </row>
    <row r="3" spans="1:18" ht="15.6">
      <c r="O3" s="38" t="s">
        <v>267</v>
      </c>
      <c r="P3" s="38"/>
      <c r="Q3" s="8"/>
    </row>
    <row r="4" spans="1:18" ht="15.6">
      <c r="O4" s="117"/>
      <c r="P4" s="38"/>
      <c r="Q4" s="8"/>
    </row>
    <row r="5" spans="1:18" ht="15.6">
      <c r="O5" s="117"/>
      <c r="P5" s="38"/>
      <c r="Q5" s="8"/>
    </row>
    <row r="6" spans="1:18" ht="15.6">
      <c r="O6" s="39"/>
      <c r="P6" s="38"/>
      <c r="Q6" s="8"/>
    </row>
    <row r="7" spans="1:18" ht="11.25" customHeight="1">
      <c r="A7" s="365" t="s">
        <v>268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</row>
    <row r="8" spans="1:18" ht="13.8" thickBot="1">
      <c r="Q8" s="3"/>
    </row>
    <row r="9" spans="1:18" s="40" customFormat="1" ht="15.6">
      <c r="A9" s="295" t="s">
        <v>2</v>
      </c>
      <c r="B9" s="295" t="s">
        <v>3</v>
      </c>
      <c r="C9" s="295" t="s">
        <v>4</v>
      </c>
      <c r="D9" s="295" t="s">
        <v>5</v>
      </c>
      <c r="E9" s="366" t="s">
        <v>269</v>
      </c>
      <c r="F9" s="368" t="s">
        <v>270</v>
      </c>
      <c r="G9" s="370" t="s">
        <v>271</v>
      </c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1"/>
    </row>
    <row r="10" spans="1:18" s="40" customFormat="1" ht="27.75" customHeight="1" thickBot="1">
      <c r="A10" s="296"/>
      <c r="B10" s="296"/>
      <c r="C10" s="296"/>
      <c r="D10" s="296"/>
      <c r="E10" s="367"/>
      <c r="F10" s="369"/>
      <c r="G10" s="41" t="s">
        <v>272</v>
      </c>
      <c r="H10" s="41" t="s">
        <v>273</v>
      </c>
      <c r="I10" s="41" t="s">
        <v>274</v>
      </c>
      <c r="J10" s="41" t="s">
        <v>275</v>
      </c>
      <c r="K10" s="41" t="s">
        <v>276</v>
      </c>
      <c r="L10" s="41" t="s">
        <v>277</v>
      </c>
      <c r="M10" s="41" t="s">
        <v>278</v>
      </c>
      <c r="N10" s="41" t="s">
        <v>279</v>
      </c>
      <c r="O10" s="41" t="s">
        <v>280</v>
      </c>
      <c r="P10" s="41" t="s">
        <v>281</v>
      </c>
      <c r="Q10" s="41" t="s">
        <v>282</v>
      </c>
      <c r="R10" s="42" t="s">
        <v>283</v>
      </c>
    </row>
    <row r="11" spans="1:18" s="44" customFormat="1" ht="26.4">
      <c r="A11" s="303">
        <v>1</v>
      </c>
      <c r="B11" s="309" t="s">
        <v>31</v>
      </c>
      <c r="C11" s="9" t="s">
        <v>32</v>
      </c>
      <c r="D11" s="33" t="s">
        <v>284</v>
      </c>
      <c r="E11" s="10">
        <v>10386.709999999999</v>
      </c>
      <c r="F11" s="31"/>
      <c r="G11" s="43"/>
      <c r="H11" s="43"/>
      <c r="I11" s="43"/>
      <c r="J11" s="43"/>
      <c r="K11" s="43"/>
      <c r="L11" s="43"/>
      <c r="M11" s="28"/>
      <c r="N11" s="28"/>
      <c r="O11" s="28"/>
      <c r="P11" s="28"/>
      <c r="Q11" s="28"/>
      <c r="R11" s="28"/>
    </row>
    <row r="12" spans="1:18" s="44" customFormat="1" ht="12.75" customHeight="1">
      <c r="A12" s="304"/>
      <c r="B12" s="310"/>
      <c r="C12" s="356" t="s">
        <v>285</v>
      </c>
      <c r="D12" s="356"/>
      <c r="E12" s="11">
        <v>10386.709999999999</v>
      </c>
      <c r="F12" s="31"/>
      <c r="G12" s="132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</row>
    <row r="13" spans="1:18" s="44" customFormat="1" ht="26.25" customHeight="1">
      <c r="A13" s="303">
        <v>2</v>
      </c>
      <c r="B13" s="309" t="s">
        <v>33</v>
      </c>
      <c r="C13" s="9" t="s">
        <v>34</v>
      </c>
      <c r="D13" s="33" t="s">
        <v>284</v>
      </c>
      <c r="E13" s="10">
        <v>1775.1</v>
      </c>
      <c r="F13" s="31"/>
      <c r="G13" s="43"/>
      <c r="H13" s="43"/>
      <c r="I13" s="43"/>
      <c r="J13" s="43"/>
      <c r="K13" s="43"/>
      <c r="L13" s="43"/>
      <c r="M13" s="28"/>
      <c r="N13" s="28"/>
      <c r="O13" s="28"/>
      <c r="P13" s="28"/>
      <c r="Q13" s="28"/>
      <c r="R13" s="28"/>
    </row>
    <row r="14" spans="1:18" s="44" customFormat="1" ht="12" customHeight="1">
      <c r="A14" s="304"/>
      <c r="B14" s="310"/>
      <c r="C14" s="359" t="s">
        <v>286</v>
      </c>
      <c r="D14" s="359"/>
      <c r="E14" s="11">
        <v>1775.1</v>
      </c>
      <c r="F14" s="31"/>
      <c r="G14" s="46"/>
      <c r="H14" s="43"/>
      <c r="I14" s="43"/>
      <c r="J14" s="46"/>
      <c r="K14" s="43"/>
      <c r="L14" s="43"/>
      <c r="M14" s="47"/>
      <c r="N14" s="28"/>
      <c r="O14" s="28"/>
      <c r="P14" s="47"/>
      <c r="Q14" s="28"/>
      <c r="R14" s="28"/>
    </row>
    <row r="15" spans="1:18" s="44" customFormat="1" ht="39.75" hidden="1" customHeight="1">
      <c r="A15" s="363">
        <v>6</v>
      </c>
      <c r="B15" s="331" t="s">
        <v>36</v>
      </c>
      <c r="C15" s="133" t="s">
        <v>37</v>
      </c>
      <c r="D15" s="134" t="s">
        <v>284</v>
      </c>
      <c r="E15" s="126"/>
      <c r="F15" s="31"/>
      <c r="G15" s="43"/>
      <c r="H15" s="43"/>
      <c r="I15" s="43"/>
      <c r="J15" s="43"/>
      <c r="K15" s="43"/>
      <c r="L15" s="43"/>
      <c r="M15" s="28"/>
      <c r="N15" s="28"/>
      <c r="O15" s="28"/>
      <c r="P15" s="28"/>
      <c r="Q15" s="28"/>
      <c r="R15" s="28"/>
    </row>
    <row r="16" spans="1:18" s="44" customFormat="1" ht="12" hidden="1" customHeight="1">
      <c r="A16" s="364"/>
      <c r="B16" s="332"/>
      <c r="C16" s="329" t="s">
        <v>285</v>
      </c>
      <c r="D16" s="330"/>
      <c r="E16" s="137"/>
      <c r="F16" s="31"/>
      <c r="G16" s="46"/>
      <c r="H16" s="46"/>
      <c r="I16" s="46"/>
      <c r="J16" s="46"/>
      <c r="K16" s="46"/>
      <c r="L16" s="46"/>
      <c r="M16" s="47"/>
      <c r="N16" s="47"/>
      <c r="O16" s="47"/>
      <c r="P16" s="47"/>
      <c r="Q16" s="47"/>
      <c r="R16" s="47"/>
    </row>
    <row r="17" spans="1:18" s="44" customFormat="1" ht="24" customHeight="1">
      <c r="A17" s="303">
        <v>3</v>
      </c>
      <c r="B17" s="327" t="s">
        <v>39</v>
      </c>
      <c r="C17" s="64" t="s">
        <v>40</v>
      </c>
      <c r="D17" s="65" t="s">
        <v>284</v>
      </c>
      <c r="E17" s="34">
        <v>97.9</v>
      </c>
      <c r="F17" s="31"/>
      <c r="G17" s="43"/>
      <c r="H17" s="43"/>
      <c r="I17" s="43"/>
      <c r="J17" s="43"/>
      <c r="K17" s="43"/>
      <c r="L17" s="43"/>
      <c r="M17" s="28"/>
      <c r="N17" s="28"/>
      <c r="O17" s="28"/>
      <c r="P17" s="28"/>
      <c r="Q17" s="28"/>
      <c r="R17" s="28"/>
    </row>
    <row r="18" spans="1:18" s="44" customFormat="1" ht="12" customHeight="1">
      <c r="A18" s="304"/>
      <c r="B18" s="328"/>
      <c r="C18" s="321" t="s">
        <v>285</v>
      </c>
      <c r="D18" s="322"/>
      <c r="E18" s="11">
        <v>97.9</v>
      </c>
      <c r="F18" s="31"/>
      <c r="G18" s="132"/>
      <c r="H18" s="46"/>
      <c r="I18" s="46"/>
      <c r="J18" s="46"/>
      <c r="K18" s="46"/>
      <c r="L18" s="46"/>
      <c r="M18" s="47"/>
      <c r="N18" s="47"/>
      <c r="O18" s="47"/>
      <c r="P18" s="47"/>
      <c r="Q18" s="47"/>
      <c r="R18" s="47"/>
    </row>
    <row r="19" spans="1:18" s="44" customFormat="1" ht="25.5" customHeight="1">
      <c r="A19" s="303">
        <v>5</v>
      </c>
      <c r="B19" s="361" t="s">
        <v>43</v>
      </c>
      <c r="C19" s="169" t="s">
        <v>44</v>
      </c>
      <c r="D19" s="164" t="s">
        <v>284</v>
      </c>
      <c r="E19" s="34">
        <v>5.4</v>
      </c>
      <c r="F19" s="31"/>
      <c r="G19" s="43"/>
      <c r="H19" s="43"/>
      <c r="I19" s="43"/>
      <c r="J19" s="43"/>
      <c r="K19" s="43"/>
      <c r="L19" s="43"/>
      <c r="M19" s="28"/>
      <c r="N19" s="28"/>
      <c r="O19" s="28"/>
      <c r="P19" s="28"/>
      <c r="Q19" s="28"/>
      <c r="R19" s="28"/>
    </row>
    <row r="20" spans="1:18" s="44" customFormat="1" ht="12" customHeight="1">
      <c r="A20" s="304">
        <v>5.5</v>
      </c>
      <c r="B20" s="362"/>
      <c r="C20" s="301" t="s">
        <v>285</v>
      </c>
      <c r="D20" s="302"/>
      <c r="E20" s="11">
        <v>5.4</v>
      </c>
      <c r="F20" s="31"/>
      <c r="G20" s="132"/>
      <c r="H20" s="46"/>
      <c r="I20" s="46"/>
      <c r="J20" s="46"/>
      <c r="K20" s="46"/>
      <c r="L20" s="46"/>
      <c r="M20" s="47"/>
      <c r="N20" s="47"/>
      <c r="O20" s="47"/>
      <c r="P20" s="47"/>
      <c r="Q20" s="47"/>
      <c r="R20" s="47"/>
    </row>
    <row r="21" spans="1:18" s="44" customFormat="1" ht="24" customHeight="1">
      <c r="A21" s="303">
        <v>6</v>
      </c>
      <c r="B21" s="318" t="s">
        <v>45</v>
      </c>
      <c r="C21" s="64" t="s">
        <v>46</v>
      </c>
      <c r="D21" s="65" t="s">
        <v>284</v>
      </c>
      <c r="E21" s="34">
        <v>925.80000000000007</v>
      </c>
      <c r="F21" s="3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s="44" customFormat="1" ht="12" customHeight="1">
      <c r="A22" s="304">
        <v>6.5</v>
      </c>
      <c r="B22" s="318"/>
      <c r="C22" s="321" t="s">
        <v>285</v>
      </c>
      <c r="D22" s="322"/>
      <c r="E22" s="11">
        <v>925.80000000000007</v>
      </c>
      <c r="F22" s="31"/>
      <c r="G22" s="135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s="44" customFormat="1" ht="39.75" customHeight="1">
      <c r="A23" s="323">
        <v>7</v>
      </c>
      <c r="B23" s="318" t="s">
        <v>49</v>
      </c>
      <c r="C23" s="67" t="s">
        <v>50</v>
      </c>
      <c r="D23" s="65" t="s">
        <v>284</v>
      </c>
      <c r="E23" s="10">
        <v>26.5</v>
      </c>
      <c r="F23" s="31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s="44" customFormat="1" ht="12" customHeight="1">
      <c r="A24" s="324">
        <v>7.5</v>
      </c>
      <c r="B24" s="318"/>
      <c r="C24" s="311" t="s">
        <v>287</v>
      </c>
      <c r="D24" s="312"/>
      <c r="E24" s="11">
        <v>26.5</v>
      </c>
      <c r="F24" s="31"/>
      <c r="G24" s="135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s="44" customFormat="1" ht="39" customHeight="1">
      <c r="A25" s="303">
        <v>8</v>
      </c>
      <c r="B25" s="318" t="s">
        <v>51</v>
      </c>
      <c r="C25" s="67" t="s">
        <v>52</v>
      </c>
      <c r="D25" s="65" t="s">
        <v>284</v>
      </c>
      <c r="E25" s="10">
        <v>165.6</v>
      </c>
      <c r="F25" s="31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s="44" customFormat="1" ht="12" customHeight="1">
      <c r="A26" s="304"/>
      <c r="B26" s="318"/>
      <c r="C26" s="321" t="s">
        <v>285</v>
      </c>
      <c r="D26" s="322"/>
      <c r="E26" s="11">
        <v>165.6</v>
      </c>
      <c r="F26" s="31"/>
      <c r="G26" s="135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s="44" customFormat="1" ht="41.25" customHeight="1">
      <c r="A27" s="323">
        <v>9</v>
      </c>
      <c r="B27" s="318" t="s">
        <v>53</v>
      </c>
      <c r="C27" s="67" t="s">
        <v>54</v>
      </c>
      <c r="D27" s="65" t="s">
        <v>284</v>
      </c>
      <c r="E27" s="10">
        <v>26.499999999999993</v>
      </c>
      <c r="F27" s="3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s="44" customFormat="1" ht="12" customHeight="1">
      <c r="A28" s="324">
        <v>9</v>
      </c>
      <c r="B28" s="318"/>
      <c r="C28" s="321" t="s">
        <v>285</v>
      </c>
      <c r="D28" s="322"/>
      <c r="E28" s="11">
        <v>26.499999999999993</v>
      </c>
      <c r="F28" s="31"/>
      <c r="G28" s="135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44" customFormat="1" ht="39" customHeight="1">
      <c r="A29" s="303">
        <v>10</v>
      </c>
      <c r="B29" s="318" t="s">
        <v>55</v>
      </c>
      <c r="C29" s="67" t="s">
        <v>56</v>
      </c>
      <c r="D29" s="65" t="s">
        <v>284</v>
      </c>
      <c r="E29" s="10">
        <v>97.4</v>
      </c>
      <c r="F29" s="31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44" customFormat="1" ht="12" customHeight="1">
      <c r="A30" s="304"/>
      <c r="B30" s="318"/>
      <c r="C30" s="321" t="s">
        <v>285</v>
      </c>
      <c r="D30" s="322"/>
      <c r="E30" s="11">
        <v>97.4</v>
      </c>
      <c r="F30" s="31"/>
      <c r="G30" s="135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s="44" customFormat="1" ht="27.75" hidden="1" customHeight="1">
      <c r="A31" s="323">
        <v>10</v>
      </c>
      <c r="B31" s="360" t="s">
        <v>57</v>
      </c>
      <c r="C31" s="133" t="s">
        <v>58</v>
      </c>
      <c r="D31" s="134" t="s">
        <v>284</v>
      </c>
      <c r="E31" s="118"/>
      <c r="F31" s="31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s="44" customFormat="1" ht="12" hidden="1" customHeight="1">
      <c r="A32" s="324">
        <v>10.5</v>
      </c>
      <c r="B32" s="360"/>
      <c r="C32" s="329" t="s">
        <v>285</v>
      </c>
      <c r="D32" s="330"/>
      <c r="E32" s="131"/>
      <c r="F32" s="31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s="44" customFormat="1" ht="38.25" customHeight="1">
      <c r="A33" s="303">
        <v>11</v>
      </c>
      <c r="B33" s="318" t="s">
        <v>59</v>
      </c>
      <c r="C33" s="64" t="s">
        <v>60</v>
      </c>
      <c r="D33" s="65" t="s">
        <v>284</v>
      </c>
      <c r="E33" s="10">
        <v>105.2</v>
      </c>
      <c r="F33" s="3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s="44" customFormat="1" ht="12" customHeight="1">
      <c r="A34" s="304"/>
      <c r="B34" s="318"/>
      <c r="C34" s="321" t="s">
        <v>285</v>
      </c>
      <c r="D34" s="322"/>
      <c r="E34" s="11">
        <v>105.2</v>
      </c>
      <c r="F34" s="31"/>
      <c r="G34" s="135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s="44" customFormat="1" ht="30" hidden="1" customHeight="1">
      <c r="A35" s="323">
        <v>11.5</v>
      </c>
      <c r="B35" s="360" t="s">
        <v>61</v>
      </c>
      <c r="C35" s="133" t="s">
        <v>62</v>
      </c>
      <c r="D35" s="134" t="s">
        <v>284</v>
      </c>
      <c r="E35" s="118"/>
      <c r="F35" s="3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 s="44" customFormat="1" ht="12" hidden="1" customHeight="1">
      <c r="A36" s="324">
        <v>12</v>
      </c>
      <c r="B36" s="360"/>
      <c r="C36" s="329" t="s">
        <v>285</v>
      </c>
      <c r="D36" s="330"/>
      <c r="E36" s="131"/>
      <c r="F36" s="31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44" customFormat="1" ht="39" customHeight="1">
      <c r="A37" s="303">
        <v>12</v>
      </c>
      <c r="B37" s="318" t="s">
        <v>63</v>
      </c>
      <c r="C37" s="9" t="s">
        <v>64</v>
      </c>
      <c r="D37" s="65" t="s">
        <v>284</v>
      </c>
      <c r="E37" s="10">
        <v>102.4</v>
      </c>
      <c r="F37" s="31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18" s="44" customFormat="1" ht="12" customHeight="1">
      <c r="A38" s="304"/>
      <c r="B38" s="318"/>
      <c r="C38" s="321" t="s">
        <v>285</v>
      </c>
      <c r="D38" s="322"/>
      <c r="E38" s="11">
        <v>102.4</v>
      </c>
      <c r="F38" s="31"/>
      <c r="G38" s="135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s="44" customFormat="1" ht="36.75" customHeight="1">
      <c r="A39" s="323">
        <v>13</v>
      </c>
      <c r="B39" s="318" t="s">
        <v>65</v>
      </c>
      <c r="C39" s="9" t="s">
        <v>66</v>
      </c>
      <c r="D39" s="65" t="s">
        <v>284</v>
      </c>
      <c r="E39" s="10">
        <v>122.2</v>
      </c>
      <c r="F39" s="31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s="44" customFormat="1" ht="12" customHeight="1">
      <c r="A40" s="324">
        <v>13.5</v>
      </c>
      <c r="B40" s="318"/>
      <c r="C40" s="321" t="s">
        <v>285</v>
      </c>
      <c r="D40" s="322"/>
      <c r="E40" s="11">
        <v>122.2</v>
      </c>
      <c r="F40" s="31"/>
      <c r="G40" s="135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s="44" customFormat="1" ht="27.75" hidden="1" customHeight="1">
      <c r="A41" s="303">
        <v>14</v>
      </c>
      <c r="B41" s="360" t="s">
        <v>67</v>
      </c>
      <c r="C41" s="136" t="s">
        <v>68</v>
      </c>
      <c r="D41" s="134" t="s">
        <v>284</v>
      </c>
      <c r="E41" s="118"/>
      <c r="F41" s="3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s="44" customFormat="1" ht="12" hidden="1" customHeight="1">
      <c r="A42" s="304"/>
      <c r="B42" s="360"/>
      <c r="C42" s="357" t="s">
        <v>288</v>
      </c>
      <c r="D42" s="355"/>
      <c r="E42" s="131"/>
      <c r="F42" s="31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44" customFormat="1" ht="27" customHeight="1">
      <c r="A43" s="323">
        <v>14</v>
      </c>
      <c r="B43" s="318" t="s">
        <v>69</v>
      </c>
      <c r="C43" s="67" t="s">
        <v>70</v>
      </c>
      <c r="D43" s="65" t="s">
        <v>284</v>
      </c>
      <c r="E43" s="10">
        <v>2330.3000000000002</v>
      </c>
      <c r="F43" s="31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s="44" customFormat="1" ht="12" customHeight="1">
      <c r="A44" s="324">
        <v>15.5</v>
      </c>
      <c r="B44" s="318"/>
      <c r="C44" s="317" t="s">
        <v>288</v>
      </c>
      <c r="D44" s="312"/>
      <c r="E44" s="11">
        <v>2330.3000000000002</v>
      </c>
      <c r="F44" s="31"/>
      <c r="G44" s="135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s="44" customFormat="1" ht="39.75" customHeight="1">
      <c r="A45" s="303">
        <v>15</v>
      </c>
      <c r="B45" s="318" t="s">
        <v>71</v>
      </c>
      <c r="C45" s="67" t="s">
        <v>72</v>
      </c>
      <c r="D45" s="65" t="s">
        <v>284</v>
      </c>
      <c r="E45" s="10">
        <v>20</v>
      </c>
      <c r="F45" s="31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s="44" customFormat="1" ht="12" customHeight="1">
      <c r="A46" s="304"/>
      <c r="B46" s="318"/>
      <c r="C46" s="317" t="s">
        <v>288</v>
      </c>
      <c r="D46" s="312"/>
      <c r="E46" s="11">
        <v>20</v>
      </c>
      <c r="F46" s="31"/>
      <c r="G46" s="135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s="44" customFormat="1" ht="29.25" customHeight="1">
      <c r="A47" s="303">
        <v>16</v>
      </c>
      <c r="B47" s="358" t="s">
        <v>73</v>
      </c>
      <c r="C47" s="165" t="s">
        <v>74</v>
      </c>
      <c r="D47" s="164" t="s">
        <v>284</v>
      </c>
      <c r="E47" s="166">
        <v>48.2</v>
      </c>
      <c r="F47" s="31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s="44" customFormat="1" ht="12" customHeight="1">
      <c r="A48" s="304">
        <v>16.0867052023121</v>
      </c>
      <c r="B48" s="358"/>
      <c r="C48" s="352" t="s">
        <v>288</v>
      </c>
      <c r="D48" s="353"/>
      <c r="E48" s="167">
        <v>48.2</v>
      </c>
      <c r="F48" s="31"/>
      <c r="G48" s="135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s="44" customFormat="1" ht="30" customHeight="1">
      <c r="A49" s="323">
        <v>17</v>
      </c>
      <c r="B49" s="327" t="s">
        <v>75</v>
      </c>
      <c r="C49" s="75" t="s">
        <v>76</v>
      </c>
      <c r="D49" s="33" t="s">
        <v>284</v>
      </c>
      <c r="E49" s="34">
        <v>12</v>
      </c>
      <c r="F49" s="31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s="44" customFormat="1" ht="12" customHeight="1">
      <c r="A50" s="324">
        <v>16.867052023121399</v>
      </c>
      <c r="B50" s="328"/>
      <c r="C50" s="321" t="s">
        <v>288</v>
      </c>
      <c r="D50" s="322"/>
      <c r="E50" s="11">
        <v>12</v>
      </c>
      <c r="F50" s="31"/>
      <c r="G50" s="135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s="44" customFormat="1" ht="27" customHeight="1">
      <c r="A51" s="303">
        <v>18</v>
      </c>
      <c r="B51" s="327" t="s">
        <v>77</v>
      </c>
      <c r="C51" s="75" t="s">
        <v>78</v>
      </c>
      <c r="D51" s="65" t="s">
        <v>284</v>
      </c>
      <c r="E51" s="34">
        <v>31.7</v>
      </c>
      <c r="F51" s="31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</row>
    <row r="52" spans="1:18" s="44" customFormat="1" ht="12" customHeight="1">
      <c r="A52" s="304">
        <v>17.647398843930599</v>
      </c>
      <c r="B52" s="328"/>
      <c r="C52" s="321" t="s">
        <v>285</v>
      </c>
      <c r="D52" s="322"/>
      <c r="E52" s="11">
        <v>31.7</v>
      </c>
      <c r="F52" s="31"/>
      <c r="G52" s="13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s="44" customFormat="1" ht="26.25" customHeight="1">
      <c r="A53" s="323">
        <v>19</v>
      </c>
      <c r="B53" s="327" t="s">
        <v>79</v>
      </c>
      <c r="C53" s="75" t="s">
        <v>80</v>
      </c>
      <c r="D53" s="65" t="s">
        <v>284</v>
      </c>
      <c r="E53" s="34">
        <v>280.3</v>
      </c>
      <c r="F53" s="31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s="44" customFormat="1" ht="12" customHeight="1">
      <c r="A54" s="324">
        <v>18.427745664739899</v>
      </c>
      <c r="B54" s="328"/>
      <c r="C54" s="321" t="s">
        <v>285</v>
      </c>
      <c r="D54" s="322"/>
      <c r="E54" s="11">
        <v>280.3</v>
      </c>
      <c r="F54" s="31"/>
      <c r="G54" s="135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s="44" customFormat="1" ht="30" customHeight="1">
      <c r="A55" s="303">
        <v>20</v>
      </c>
      <c r="B55" s="327" t="s">
        <v>81</v>
      </c>
      <c r="C55" s="75" t="s">
        <v>82</v>
      </c>
      <c r="D55" s="65" t="s">
        <v>284</v>
      </c>
      <c r="E55" s="34">
        <v>167.3</v>
      </c>
      <c r="F55" s="31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8" s="44" customFormat="1" ht="12" customHeight="1">
      <c r="A56" s="304"/>
      <c r="B56" s="328"/>
      <c r="C56" s="321" t="s">
        <v>285</v>
      </c>
      <c r="D56" s="322"/>
      <c r="E56" s="11">
        <v>167.3</v>
      </c>
      <c r="F56" s="31"/>
      <c r="G56" s="135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s="44" customFormat="1" ht="39" customHeight="1">
      <c r="A57" s="323" t="s">
        <v>313</v>
      </c>
      <c r="B57" s="350" t="s">
        <v>83</v>
      </c>
      <c r="C57" s="168" t="s">
        <v>84</v>
      </c>
      <c r="D57" s="164" t="s">
        <v>284</v>
      </c>
      <c r="E57" s="34">
        <v>575</v>
      </c>
      <c r="F57" s="31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s="44" customFormat="1" ht="12" customHeight="1">
      <c r="A58" s="324">
        <v>20.6425818882466</v>
      </c>
      <c r="B58" s="351"/>
      <c r="C58" s="352" t="s">
        <v>288</v>
      </c>
      <c r="D58" s="353"/>
      <c r="E58" s="11">
        <v>575</v>
      </c>
      <c r="F58" s="31"/>
      <c r="G58" s="135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s="44" customFormat="1" ht="28.5" hidden="1" customHeight="1">
      <c r="A59" s="303">
        <v>21.1425818882466</v>
      </c>
      <c r="B59" s="348" t="s">
        <v>85</v>
      </c>
      <c r="C59" s="121" t="s">
        <v>86</v>
      </c>
      <c r="D59" s="134" t="s">
        <v>284</v>
      </c>
      <c r="E59" s="126"/>
      <c r="F59" s="3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s="44" customFormat="1" ht="12" hidden="1" customHeight="1">
      <c r="A60" s="304"/>
      <c r="B60" s="349"/>
      <c r="C60" s="329" t="s">
        <v>285</v>
      </c>
      <c r="D60" s="330"/>
      <c r="E60" s="131"/>
      <c r="F60" s="31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s="44" customFormat="1" ht="28.5" customHeight="1">
      <c r="A61" s="323" t="s">
        <v>314</v>
      </c>
      <c r="B61" s="327" t="s">
        <v>87</v>
      </c>
      <c r="C61" s="75" t="s">
        <v>88</v>
      </c>
      <c r="D61" s="65" t="s">
        <v>284</v>
      </c>
      <c r="E61" s="10">
        <v>281</v>
      </c>
      <c r="F61" s="31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18" s="44" customFormat="1" ht="12" customHeight="1">
      <c r="A62" s="324">
        <v>22.1425818882466</v>
      </c>
      <c r="B62" s="328"/>
      <c r="C62" s="321" t="s">
        <v>285</v>
      </c>
      <c r="D62" s="322"/>
      <c r="E62" s="11">
        <v>281</v>
      </c>
      <c r="F62" s="31"/>
      <c r="G62" s="135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s="44" customFormat="1" ht="15.75" customHeight="1">
      <c r="A63" s="303" t="s">
        <v>315</v>
      </c>
      <c r="B63" s="327" t="s">
        <v>89</v>
      </c>
      <c r="C63" s="75" t="s">
        <v>90</v>
      </c>
      <c r="D63" s="65" t="s">
        <v>284</v>
      </c>
      <c r="E63" s="34">
        <v>170.7</v>
      </c>
      <c r="F63" s="31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18" s="44" customFormat="1" ht="12" customHeight="1">
      <c r="A64" s="304"/>
      <c r="B64" s="328"/>
      <c r="C64" s="321" t="s">
        <v>285</v>
      </c>
      <c r="D64" s="322"/>
      <c r="E64" s="11">
        <v>170.7</v>
      </c>
      <c r="F64" s="31"/>
      <c r="G64" s="135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1:18" s="44" customFormat="1" ht="25.5" customHeight="1">
      <c r="A65" s="323" t="s">
        <v>316</v>
      </c>
      <c r="B65" s="327" t="s">
        <v>91</v>
      </c>
      <c r="C65" s="82" t="s">
        <v>92</v>
      </c>
      <c r="D65" s="65" t="s">
        <v>284</v>
      </c>
      <c r="E65" s="10">
        <v>158.30000000000001</v>
      </c>
      <c r="F65" s="31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s="44" customFormat="1" ht="12" customHeight="1">
      <c r="A66" s="324">
        <v>23.6425818882466</v>
      </c>
      <c r="B66" s="328"/>
      <c r="C66" s="321" t="s">
        <v>285</v>
      </c>
      <c r="D66" s="322"/>
      <c r="E66" s="11">
        <v>158.30000000000001</v>
      </c>
      <c r="F66" s="31"/>
      <c r="G66" s="135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s="44" customFormat="1" ht="24.75" customHeight="1">
      <c r="A67" s="303" t="s">
        <v>317</v>
      </c>
      <c r="B67" s="327" t="s">
        <v>93</v>
      </c>
      <c r="C67" s="75" t="s">
        <v>94</v>
      </c>
      <c r="D67" s="65" t="s">
        <v>284</v>
      </c>
      <c r="E67" s="10">
        <v>447.5</v>
      </c>
      <c r="F67" s="31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44" customFormat="1" ht="12" customHeight="1">
      <c r="A68" s="304"/>
      <c r="B68" s="328"/>
      <c r="C68" s="321" t="s">
        <v>285</v>
      </c>
      <c r="D68" s="322"/>
      <c r="E68" s="11">
        <v>447.5</v>
      </c>
      <c r="F68" s="31"/>
      <c r="G68" s="135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s="44" customFormat="1" ht="27.75" customHeight="1">
      <c r="A69" s="323" t="s">
        <v>318</v>
      </c>
      <c r="B69" s="350" t="s">
        <v>95</v>
      </c>
      <c r="C69" s="168" t="s">
        <v>96</v>
      </c>
      <c r="D69" s="164" t="s">
        <v>284</v>
      </c>
      <c r="E69" s="10">
        <v>70</v>
      </c>
      <c r="F69" s="31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s="44" customFormat="1" ht="12" customHeight="1">
      <c r="A70" s="324">
        <v>25.1425818882466</v>
      </c>
      <c r="B70" s="351"/>
      <c r="C70" s="301" t="s">
        <v>285</v>
      </c>
      <c r="D70" s="302"/>
      <c r="E70" s="11">
        <v>70</v>
      </c>
      <c r="F70" s="31"/>
      <c r="G70" s="135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s="44" customFormat="1" ht="29.25" customHeight="1">
      <c r="A71" s="303" t="s">
        <v>319</v>
      </c>
      <c r="B71" s="327" t="s">
        <v>97</v>
      </c>
      <c r="C71" s="75" t="s">
        <v>98</v>
      </c>
      <c r="D71" s="65" t="s">
        <v>284</v>
      </c>
      <c r="E71" s="34">
        <v>838.6</v>
      </c>
      <c r="F71" s="31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8" s="44" customFormat="1" ht="12" customHeight="1">
      <c r="A72" s="304"/>
      <c r="B72" s="328"/>
      <c r="C72" s="321" t="s">
        <v>285</v>
      </c>
      <c r="D72" s="322"/>
      <c r="E72" s="11">
        <v>838.6</v>
      </c>
      <c r="F72" s="31"/>
      <c r="G72" s="135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</row>
    <row r="73" spans="1:18" s="44" customFormat="1" ht="39.75" hidden="1" customHeight="1">
      <c r="A73" s="323">
        <v>26.1425818882466</v>
      </c>
      <c r="B73" s="331" t="s">
        <v>99</v>
      </c>
      <c r="C73" s="127" t="s">
        <v>100</v>
      </c>
      <c r="D73" s="134" t="s">
        <v>284</v>
      </c>
      <c r="E73" s="126"/>
      <c r="F73" s="31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1:18" s="44" customFormat="1" ht="12" hidden="1" customHeight="1">
      <c r="A74" s="324">
        <v>26.6425818882466</v>
      </c>
      <c r="B74" s="332"/>
      <c r="C74" s="329" t="s">
        <v>285</v>
      </c>
      <c r="D74" s="330"/>
      <c r="E74" s="131"/>
      <c r="F74" s="31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</row>
    <row r="75" spans="1:18" s="44" customFormat="1" ht="39.75" hidden="1" customHeight="1">
      <c r="A75" s="303">
        <v>27.1425818882466</v>
      </c>
      <c r="B75" s="331" t="s">
        <v>101</v>
      </c>
      <c r="C75" s="127" t="s">
        <v>102</v>
      </c>
      <c r="D75" s="134" t="s">
        <v>284</v>
      </c>
      <c r="E75" s="126"/>
      <c r="F75" s="31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1:18" s="44" customFormat="1" ht="12" hidden="1" customHeight="1">
      <c r="A76" s="304"/>
      <c r="B76" s="332"/>
      <c r="C76" s="329" t="s">
        <v>285</v>
      </c>
      <c r="D76" s="330"/>
      <c r="E76" s="131"/>
      <c r="F76" s="31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1:18" s="44" customFormat="1" ht="26.25" customHeight="1">
      <c r="A77" s="323" t="s">
        <v>320</v>
      </c>
      <c r="B77" s="325" t="s">
        <v>103</v>
      </c>
      <c r="C77" s="75" t="s">
        <v>104</v>
      </c>
      <c r="D77" s="65" t="s">
        <v>284</v>
      </c>
      <c r="E77" s="34">
        <v>116.7</v>
      </c>
      <c r="F77" s="31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s="44" customFormat="1" ht="12" customHeight="1">
      <c r="A78" s="324">
        <v>28.1425818882466</v>
      </c>
      <c r="B78" s="326"/>
      <c r="C78" s="321" t="s">
        <v>285</v>
      </c>
      <c r="D78" s="322"/>
      <c r="E78" s="11">
        <v>116.7</v>
      </c>
      <c r="F78" s="31"/>
      <c r="G78" s="13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18" s="44" customFormat="1" ht="29.25" customHeight="1">
      <c r="A79" s="303" t="s">
        <v>321</v>
      </c>
      <c r="B79" s="319" t="s">
        <v>105</v>
      </c>
      <c r="C79" s="168" t="s">
        <v>106</v>
      </c>
      <c r="D79" s="164" t="s">
        <v>284</v>
      </c>
      <c r="E79" s="34">
        <v>60.1</v>
      </c>
      <c r="F79" s="31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8" s="44" customFormat="1" ht="12" customHeight="1">
      <c r="A80" s="304"/>
      <c r="B80" s="320"/>
      <c r="C80" s="301" t="s">
        <v>285</v>
      </c>
      <c r="D80" s="302"/>
      <c r="E80" s="11">
        <v>60.1</v>
      </c>
      <c r="F80" s="31"/>
      <c r="G80" s="135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 s="44" customFormat="1" ht="25.5" customHeight="1">
      <c r="A81" s="323" t="s">
        <v>322</v>
      </c>
      <c r="B81" s="319" t="s">
        <v>107</v>
      </c>
      <c r="C81" s="168" t="s">
        <v>289</v>
      </c>
      <c r="D81" s="164" t="s">
        <v>284</v>
      </c>
      <c r="E81" s="34">
        <v>10.7</v>
      </c>
      <c r="F81" s="31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1:18" s="44" customFormat="1" ht="12" customHeight="1">
      <c r="A82" s="324">
        <v>29.6425818882466</v>
      </c>
      <c r="B82" s="320"/>
      <c r="C82" s="301" t="s">
        <v>285</v>
      </c>
      <c r="D82" s="302"/>
      <c r="E82" s="11">
        <v>10.7</v>
      </c>
      <c r="F82" s="31"/>
      <c r="G82" s="135"/>
      <c r="H82" s="47"/>
      <c r="I82" s="47"/>
      <c r="J82" s="28"/>
      <c r="K82" s="28"/>
      <c r="L82" s="28"/>
      <c r="M82" s="28"/>
      <c r="N82" s="28"/>
      <c r="O82" s="28"/>
      <c r="P82" s="28"/>
      <c r="Q82" s="28"/>
      <c r="R82" s="28"/>
    </row>
    <row r="83" spans="1:18" s="44" customFormat="1" ht="30" customHeight="1">
      <c r="A83" s="303" t="s">
        <v>323</v>
      </c>
      <c r="B83" s="319" t="s">
        <v>109</v>
      </c>
      <c r="C83" s="168" t="s">
        <v>290</v>
      </c>
      <c r="D83" s="164" t="s">
        <v>284</v>
      </c>
      <c r="E83" s="34">
        <v>100</v>
      </c>
      <c r="F83" s="31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1:18" s="44" customFormat="1" ht="12" customHeight="1">
      <c r="A84" s="304"/>
      <c r="B84" s="320"/>
      <c r="C84" s="321" t="s">
        <v>288</v>
      </c>
      <c r="D84" s="322"/>
      <c r="E84" s="11">
        <v>100</v>
      </c>
      <c r="F84" s="31"/>
      <c r="G84" s="135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</row>
    <row r="85" spans="1:18" s="44" customFormat="1" ht="21.75" customHeight="1">
      <c r="A85" s="323">
        <v>32</v>
      </c>
      <c r="B85" s="325" t="s">
        <v>111</v>
      </c>
      <c r="C85" s="75" t="s">
        <v>112</v>
      </c>
      <c r="D85" s="65" t="s">
        <v>284</v>
      </c>
      <c r="E85" s="34">
        <v>50</v>
      </c>
      <c r="F85" s="31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1:18" s="44" customFormat="1" ht="12" customHeight="1">
      <c r="A86" s="324">
        <v>31.1425818882466</v>
      </c>
      <c r="B86" s="326"/>
      <c r="C86" s="321" t="s">
        <v>285</v>
      </c>
      <c r="D86" s="322"/>
      <c r="E86" s="11">
        <v>50</v>
      </c>
      <c r="F86" s="31"/>
      <c r="G86" s="135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</row>
    <row r="87" spans="1:18" s="44" customFormat="1" ht="12" customHeight="1">
      <c r="A87" s="306" t="s">
        <v>291</v>
      </c>
      <c r="B87" s="307"/>
      <c r="C87" s="308"/>
      <c r="D87" s="68" t="s">
        <v>284</v>
      </c>
      <c r="E87" s="12">
        <f>SUMIF(D2:D86,"=01",E2:E86)</f>
        <v>19605.109999999997</v>
      </c>
      <c r="F87" s="31"/>
      <c r="G87" s="45"/>
      <c r="H87" s="45"/>
      <c r="I87" s="45"/>
      <c r="J87" s="45"/>
      <c r="K87" s="45"/>
      <c r="L87" s="45"/>
      <c r="M87" s="28"/>
      <c r="N87" s="28"/>
      <c r="O87" s="28"/>
      <c r="P87" s="28"/>
      <c r="Q87" s="28"/>
      <c r="R87" s="28"/>
    </row>
    <row r="88" spans="1:18" ht="27" customHeight="1">
      <c r="A88" s="305">
        <v>33</v>
      </c>
      <c r="B88" s="309" t="s">
        <v>115</v>
      </c>
      <c r="C88" s="69" t="s">
        <v>292</v>
      </c>
      <c r="D88" s="33" t="s">
        <v>293</v>
      </c>
      <c r="E88" s="10">
        <v>5886.8</v>
      </c>
      <c r="F88" s="31"/>
      <c r="G88" s="28"/>
      <c r="H88" s="35"/>
      <c r="I88" s="31"/>
      <c r="J88" s="31"/>
      <c r="K88" s="31"/>
      <c r="L88" s="31"/>
      <c r="M88" s="28"/>
      <c r="N88" s="28"/>
      <c r="O88" s="28"/>
      <c r="P88" s="28"/>
      <c r="Q88" s="28"/>
      <c r="R88" s="28"/>
    </row>
    <row r="89" spans="1:18" ht="12.75" customHeight="1">
      <c r="A89" s="305"/>
      <c r="B89" s="310"/>
      <c r="C89" s="311" t="s">
        <v>294</v>
      </c>
      <c r="D89" s="312"/>
      <c r="E89" s="11">
        <v>5886.8</v>
      </c>
      <c r="F89" s="31"/>
      <c r="G89" s="47"/>
      <c r="H89" s="49"/>
      <c r="I89" s="48"/>
      <c r="J89" s="48"/>
      <c r="K89" s="48"/>
      <c r="L89" s="48"/>
      <c r="M89" s="47"/>
      <c r="N89" s="47"/>
      <c r="O89" s="47"/>
      <c r="P89" s="47"/>
      <c r="Q89" s="47"/>
      <c r="R89" s="47"/>
    </row>
    <row r="90" spans="1:18" ht="29.25" customHeight="1">
      <c r="A90" s="305">
        <v>34</v>
      </c>
      <c r="B90" s="327" t="s">
        <v>118</v>
      </c>
      <c r="C90" s="91" t="s">
        <v>119</v>
      </c>
      <c r="D90" s="65" t="s">
        <v>293</v>
      </c>
      <c r="E90" s="10">
        <v>110.7</v>
      </c>
      <c r="F90" s="31"/>
      <c r="G90" s="28"/>
      <c r="H90" s="35"/>
      <c r="I90" s="31"/>
      <c r="J90" s="31"/>
      <c r="K90" s="31"/>
      <c r="L90" s="31"/>
      <c r="M90" s="28"/>
      <c r="N90" s="28"/>
      <c r="O90" s="28"/>
      <c r="P90" s="28"/>
      <c r="Q90" s="28"/>
      <c r="R90" s="28"/>
    </row>
    <row r="91" spans="1:18" ht="12.75" customHeight="1">
      <c r="A91" s="305"/>
      <c r="B91" s="328"/>
      <c r="C91" s="321" t="s">
        <v>294</v>
      </c>
      <c r="D91" s="322"/>
      <c r="E91" s="11">
        <v>110.7</v>
      </c>
      <c r="F91" s="31" t="s">
        <v>295</v>
      </c>
      <c r="G91" s="47"/>
      <c r="H91" s="49"/>
      <c r="I91" s="48"/>
      <c r="J91" s="48"/>
      <c r="K91" s="48"/>
      <c r="L91" s="48"/>
      <c r="M91" s="47"/>
      <c r="N91" s="47"/>
      <c r="O91" s="47"/>
      <c r="P91" s="47"/>
      <c r="Q91" s="47"/>
      <c r="R91" s="47"/>
    </row>
    <row r="92" spans="1:18" ht="28.5" customHeight="1">
      <c r="A92" s="305">
        <v>35</v>
      </c>
      <c r="B92" s="318" t="s">
        <v>120</v>
      </c>
      <c r="C92" s="88" t="s">
        <v>121</v>
      </c>
      <c r="D92" s="33" t="s">
        <v>293</v>
      </c>
      <c r="E92" s="34">
        <v>2091.3000000000002</v>
      </c>
      <c r="F92" s="31"/>
      <c r="G92" s="28"/>
      <c r="H92" s="31"/>
      <c r="I92" s="31"/>
      <c r="J92" s="31"/>
      <c r="K92" s="31"/>
      <c r="L92" s="31"/>
      <c r="M92" s="28"/>
      <c r="N92" s="28"/>
      <c r="O92" s="28"/>
      <c r="P92" s="28"/>
      <c r="Q92" s="28"/>
      <c r="R92" s="28"/>
    </row>
    <row r="93" spans="1:18" ht="12.75" customHeight="1">
      <c r="A93" s="305"/>
      <c r="B93" s="318"/>
      <c r="C93" s="317" t="s">
        <v>286</v>
      </c>
      <c r="D93" s="312"/>
      <c r="E93" s="11">
        <v>2091.3000000000002</v>
      </c>
      <c r="F93" s="31"/>
      <c r="G93" s="47"/>
      <c r="H93" s="48"/>
      <c r="I93" s="48"/>
      <c r="J93" s="48"/>
      <c r="K93" s="48"/>
      <c r="L93" s="48"/>
      <c r="M93" s="47"/>
      <c r="N93" s="47"/>
      <c r="O93" s="47"/>
      <c r="P93" s="47"/>
      <c r="Q93" s="47"/>
      <c r="R93" s="47"/>
    </row>
    <row r="94" spans="1:18" ht="13.8">
      <c r="A94" s="306">
        <v>35</v>
      </c>
      <c r="B94" s="307"/>
      <c r="C94" s="308"/>
      <c r="D94" s="68" t="s">
        <v>293</v>
      </c>
      <c r="E94" s="12">
        <f xml:space="preserve"> SUM(E88,E90,E92)</f>
        <v>8088.8</v>
      </c>
      <c r="F94" s="50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</row>
    <row r="95" spans="1:18" ht="39" customHeight="1">
      <c r="A95" s="305">
        <v>36</v>
      </c>
      <c r="B95" s="313" t="s">
        <v>125</v>
      </c>
      <c r="C95" s="32" t="s">
        <v>126</v>
      </c>
      <c r="D95" s="33" t="s">
        <v>296</v>
      </c>
      <c r="E95" s="10">
        <v>500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ht="12.75" customHeight="1">
      <c r="A96" s="305"/>
      <c r="B96" s="314"/>
      <c r="C96" s="311" t="s">
        <v>297</v>
      </c>
      <c r="D96" s="312"/>
      <c r="E96" s="11">
        <v>500</v>
      </c>
      <c r="F96" s="31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</row>
    <row r="97" spans="1:18" s="8" customFormat="1" ht="55.5" customHeight="1">
      <c r="A97" s="305">
        <v>37</v>
      </c>
      <c r="B97" s="327" t="s">
        <v>127</v>
      </c>
      <c r="C97" s="75" t="s">
        <v>128</v>
      </c>
      <c r="D97" s="65" t="s">
        <v>296</v>
      </c>
      <c r="E97" s="10">
        <v>3300</v>
      </c>
      <c r="F97" s="31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 s="8" customFormat="1" ht="13.5" customHeight="1">
      <c r="A98" s="305"/>
      <c r="B98" s="328"/>
      <c r="C98" s="321" t="s">
        <v>294</v>
      </c>
      <c r="D98" s="322"/>
      <c r="E98" s="73">
        <v>3300</v>
      </c>
      <c r="F98" s="31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s="8" customFormat="1" ht="69" customHeight="1">
      <c r="A99" s="305">
        <v>38</v>
      </c>
      <c r="B99" s="309" t="s">
        <v>129</v>
      </c>
      <c r="C99" s="26" t="s">
        <v>130</v>
      </c>
      <c r="D99" s="33" t="s">
        <v>296</v>
      </c>
      <c r="E99" s="10">
        <v>700</v>
      </c>
      <c r="F99" s="31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 s="8" customFormat="1" ht="13.5" customHeight="1">
      <c r="A100" s="305"/>
      <c r="B100" s="310"/>
      <c r="C100" s="317" t="s">
        <v>286</v>
      </c>
      <c r="D100" s="312"/>
      <c r="E100" s="73">
        <v>700</v>
      </c>
      <c r="F100" s="31"/>
      <c r="G100" s="49"/>
      <c r="H100" s="49"/>
      <c r="I100" s="49"/>
      <c r="J100" s="49"/>
      <c r="K100" s="49"/>
      <c r="L100" s="49"/>
      <c r="M100" s="49"/>
      <c r="N100" s="49"/>
      <c r="O100" s="49"/>
      <c r="P100" s="35"/>
      <c r="Q100" s="35"/>
      <c r="R100" s="35"/>
    </row>
    <row r="101" spans="1:18" s="44" customFormat="1" ht="17.25" hidden="1" customHeight="1">
      <c r="A101" s="305">
        <v>39</v>
      </c>
      <c r="B101" s="315">
        <v>20304010101</v>
      </c>
      <c r="C101" s="119" t="s">
        <v>298</v>
      </c>
      <c r="D101" s="138" t="s">
        <v>296</v>
      </c>
      <c r="E101" s="126"/>
      <c r="F101" s="51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</row>
    <row r="102" spans="1:18" s="44" customFormat="1" ht="14.25" hidden="1" customHeight="1">
      <c r="A102" s="305"/>
      <c r="B102" s="316"/>
      <c r="C102" s="354" t="s">
        <v>287</v>
      </c>
      <c r="D102" s="355"/>
      <c r="E102" s="131"/>
      <c r="F102" s="52"/>
      <c r="G102" s="53"/>
      <c r="H102" s="80"/>
      <c r="I102" s="54"/>
      <c r="J102" s="54"/>
      <c r="K102" s="55"/>
      <c r="L102" s="56"/>
      <c r="M102" s="56"/>
      <c r="N102" s="56"/>
      <c r="O102" s="56"/>
      <c r="P102" s="56"/>
      <c r="Q102" s="56"/>
      <c r="R102" s="45"/>
    </row>
    <row r="103" spans="1:18" s="44" customFormat="1" ht="25.5" customHeight="1">
      <c r="A103" s="305">
        <v>39</v>
      </c>
      <c r="B103" s="313">
        <v>20304010201</v>
      </c>
      <c r="C103" s="9" t="s">
        <v>139</v>
      </c>
      <c r="D103" s="33" t="s">
        <v>296</v>
      </c>
      <c r="E103" s="34">
        <v>250</v>
      </c>
      <c r="F103" s="52"/>
      <c r="G103" s="53"/>
      <c r="H103" s="53"/>
      <c r="I103" s="52"/>
      <c r="J103" s="52"/>
      <c r="K103" s="72"/>
      <c r="L103" s="45"/>
      <c r="M103" s="45"/>
      <c r="N103" s="45"/>
      <c r="O103" s="45"/>
      <c r="P103" s="45"/>
      <c r="Q103" s="45"/>
      <c r="R103" s="45"/>
    </row>
    <row r="104" spans="1:18" s="44" customFormat="1" ht="14.25" customHeight="1">
      <c r="A104" s="305"/>
      <c r="B104" s="314"/>
      <c r="C104" s="311" t="s">
        <v>287</v>
      </c>
      <c r="D104" s="312"/>
      <c r="E104" s="73">
        <v>250</v>
      </c>
      <c r="F104" s="52"/>
      <c r="G104" s="139"/>
      <c r="H104" s="80"/>
      <c r="I104" s="54"/>
      <c r="J104" s="150"/>
      <c r="K104" s="151"/>
      <c r="L104" s="152"/>
      <c r="M104" s="152"/>
      <c r="N104" s="152"/>
      <c r="O104" s="152"/>
      <c r="P104" s="152"/>
      <c r="Q104" s="152"/>
      <c r="R104" s="148"/>
    </row>
    <row r="105" spans="1:18" s="44" customFormat="1" ht="27" customHeight="1">
      <c r="A105" s="305">
        <v>40</v>
      </c>
      <c r="B105" s="309" t="s">
        <v>140</v>
      </c>
      <c r="C105" s="9" t="s">
        <v>141</v>
      </c>
      <c r="D105" s="33" t="s">
        <v>296</v>
      </c>
      <c r="E105" s="10">
        <v>25.4</v>
      </c>
      <c r="F105" s="52"/>
      <c r="G105" s="53"/>
      <c r="H105" s="53"/>
      <c r="I105" s="52"/>
      <c r="J105" s="52"/>
      <c r="K105" s="72"/>
      <c r="L105" s="45"/>
      <c r="M105" s="45"/>
      <c r="N105" s="45"/>
      <c r="O105" s="45"/>
      <c r="P105" s="45"/>
      <c r="Q105" s="45"/>
      <c r="R105" s="45"/>
    </row>
    <row r="106" spans="1:18" s="44" customFormat="1" ht="14.25" customHeight="1">
      <c r="A106" s="305"/>
      <c r="B106" s="310"/>
      <c r="C106" s="356" t="s">
        <v>286</v>
      </c>
      <c r="D106" s="356"/>
      <c r="E106" s="73">
        <v>25.4</v>
      </c>
      <c r="F106" s="52"/>
      <c r="G106" s="139"/>
      <c r="H106" s="80"/>
      <c r="I106" s="54"/>
      <c r="J106" s="54"/>
      <c r="K106" s="55"/>
      <c r="L106" s="56"/>
      <c r="M106" s="56"/>
      <c r="N106" s="56"/>
      <c r="O106" s="56"/>
      <c r="P106" s="56"/>
      <c r="Q106" s="56"/>
      <c r="R106" s="56"/>
    </row>
    <row r="107" spans="1:18" s="44" customFormat="1" ht="38.25" hidden="1" customHeight="1">
      <c r="A107" s="305">
        <v>42</v>
      </c>
      <c r="B107" s="348" t="s">
        <v>142</v>
      </c>
      <c r="C107" s="121" t="s">
        <v>143</v>
      </c>
      <c r="D107" s="138" t="s">
        <v>296</v>
      </c>
      <c r="E107" s="118"/>
      <c r="F107" s="31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</row>
    <row r="108" spans="1:18" s="44" customFormat="1" ht="13.5" hidden="1" customHeight="1">
      <c r="A108" s="305"/>
      <c r="B108" s="349"/>
      <c r="C108" s="354" t="s">
        <v>285</v>
      </c>
      <c r="D108" s="355"/>
      <c r="E108" s="131"/>
      <c r="F108" s="31"/>
      <c r="G108" s="45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</row>
    <row r="109" spans="1:18" s="44" customFormat="1" ht="28.5" hidden="1" customHeight="1">
      <c r="A109" s="305">
        <v>43</v>
      </c>
      <c r="B109" s="348" t="s">
        <v>144</v>
      </c>
      <c r="C109" s="121" t="s">
        <v>145</v>
      </c>
      <c r="D109" s="138" t="s">
        <v>296</v>
      </c>
      <c r="E109" s="126"/>
      <c r="F109" s="31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</row>
    <row r="110" spans="1:18" s="44" customFormat="1" ht="13.5" hidden="1" customHeight="1">
      <c r="A110" s="305"/>
      <c r="B110" s="349"/>
      <c r="C110" s="354" t="s">
        <v>285</v>
      </c>
      <c r="D110" s="355"/>
      <c r="E110" s="131"/>
      <c r="F110" s="31"/>
      <c r="G110" s="45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</row>
    <row r="111" spans="1:18" s="44" customFormat="1" ht="41.25" customHeight="1">
      <c r="A111" s="305">
        <v>41</v>
      </c>
      <c r="B111" s="309" t="s">
        <v>146</v>
      </c>
      <c r="C111" s="26" t="s">
        <v>147</v>
      </c>
      <c r="D111" s="33" t="s">
        <v>296</v>
      </c>
      <c r="E111" s="34">
        <v>14500</v>
      </c>
      <c r="F111" s="31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1:18" s="44" customFormat="1" ht="13.5" customHeight="1">
      <c r="A112" s="305"/>
      <c r="B112" s="310"/>
      <c r="C112" s="356" t="s">
        <v>286</v>
      </c>
      <c r="D112" s="356"/>
      <c r="E112" s="11">
        <v>14500</v>
      </c>
      <c r="F112" s="31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</row>
    <row r="113" spans="1:18" s="44" customFormat="1" ht="39.75" customHeight="1">
      <c r="A113" s="305">
        <v>42</v>
      </c>
      <c r="B113" s="309">
        <v>20304011101</v>
      </c>
      <c r="C113" s="26" t="s">
        <v>149</v>
      </c>
      <c r="D113" s="33" t="s">
        <v>296</v>
      </c>
      <c r="E113" s="34">
        <v>200</v>
      </c>
      <c r="F113" s="31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</row>
    <row r="114" spans="1:18" s="44" customFormat="1" ht="13.5" customHeight="1">
      <c r="A114" s="305"/>
      <c r="B114" s="310"/>
      <c r="C114" s="311" t="s">
        <v>285</v>
      </c>
      <c r="D114" s="312"/>
      <c r="E114" s="11">
        <v>200</v>
      </c>
      <c r="F114" s="31"/>
      <c r="G114" s="140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</row>
    <row r="115" spans="1:18" s="44" customFormat="1" ht="38.25" hidden="1" customHeight="1">
      <c r="A115" s="305">
        <v>46</v>
      </c>
      <c r="B115" s="348" t="s">
        <v>150</v>
      </c>
      <c r="C115" s="121" t="s">
        <v>151</v>
      </c>
      <c r="D115" s="138" t="s">
        <v>296</v>
      </c>
      <c r="E115" s="126"/>
      <c r="F115" s="31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</row>
    <row r="116" spans="1:18" s="44" customFormat="1" ht="13.5" hidden="1" customHeight="1">
      <c r="A116" s="305"/>
      <c r="B116" s="349"/>
      <c r="C116" s="354" t="s">
        <v>287</v>
      </c>
      <c r="D116" s="355"/>
      <c r="E116" s="131"/>
      <c r="F116" s="31"/>
      <c r="G116" s="45"/>
      <c r="H116" s="56"/>
      <c r="I116" s="148"/>
      <c r="J116" s="148"/>
      <c r="K116" s="148"/>
      <c r="L116" s="148"/>
      <c r="M116" s="45"/>
      <c r="N116" s="45"/>
      <c r="O116" s="45"/>
      <c r="P116" s="45"/>
      <c r="Q116" s="45"/>
      <c r="R116" s="45"/>
    </row>
    <row r="117" spans="1:18" s="44" customFormat="1" ht="18" customHeight="1">
      <c r="A117" s="305">
        <v>43</v>
      </c>
      <c r="B117" s="319" t="s">
        <v>152</v>
      </c>
      <c r="C117" s="168" t="s">
        <v>153</v>
      </c>
      <c r="D117" s="164" t="s">
        <v>296</v>
      </c>
      <c r="E117" s="170">
        <v>74.599999999999994</v>
      </c>
      <c r="F117" s="31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</row>
    <row r="118" spans="1:18" s="44" customFormat="1" ht="13.5" customHeight="1">
      <c r="A118" s="305"/>
      <c r="B118" s="320"/>
      <c r="C118" s="389" t="s">
        <v>286</v>
      </c>
      <c r="D118" s="389"/>
      <c r="E118" s="167">
        <v>74.599999999999994</v>
      </c>
      <c r="F118" s="31"/>
      <c r="G118" s="56"/>
      <c r="H118" s="56"/>
      <c r="I118" s="148"/>
      <c r="J118" s="148"/>
      <c r="K118" s="148"/>
      <c r="L118" s="148"/>
      <c r="M118" s="148"/>
      <c r="N118" s="148"/>
      <c r="O118" s="148"/>
      <c r="P118" s="45"/>
      <c r="Q118" s="45"/>
      <c r="R118" s="45"/>
    </row>
    <row r="119" spans="1:18" s="44" customFormat="1" ht="18.75" hidden="1" customHeight="1">
      <c r="A119" s="305">
        <v>48</v>
      </c>
      <c r="B119" s="360" t="s">
        <v>154</v>
      </c>
      <c r="C119" s="141" t="s">
        <v>155</v>
      </c>
      <c r="D119" s="134" t="s">
        <v>296</v>
      </c>
      <c r="E119" s="126"/>
      <c r="F119" s="31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</row>
    <row r="120" spans="1:18" s="44" customFormat="1" ht="13.5" hidden="1" customHeight="1">
      <c r="A120" s="305"/>
      <c r="B120" s="360"/>
      <c r="C120" s="329" t="s">
        <v>287</v>
      </c>
      <c r="D120" s="330"/>
      <c r="E120" s="131"/>
      <c r="F120" s="31"/>
      <c r="G120" s="45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</row>
    <row r="121" spans="1:18" s="44" customFormat="1" ht="18.75" hidden="1" customHeight="1">
      <c r="A121" s="305">
        <v>49</v>
      </c>
      <c r="B121" s="360" t="s">
        <v>156</v>
      </c>
      <c r="C121" s="141" t="s">
        <v>157</v>
      </c>
      <c r="D121" s="134" t="s">
        <v>296</v>
      </c>
      <c r="E121" s="126"/>
      <c r="F121" s="31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</row>
    <row r="122" spans="1:18" s="44" customFormat="1" ht="13.5" hidden="1" customHeight="1">
      <c r="A122" s="305"/>
      <c r="B122" s="360"/>
      <c r="C122" s="329" t="s">
        <v>287</v>
      </c>
      <c r="D122" s="330"/>
      <c r="E122" s="131"/>
      <c r="F122" s="31"/>
      <c r="G122" s="45"/>
      <c r="H122" s="56"/>
      <c r="I122" s="56"/>
      <c r="J122" s="56"/>
      <c r="K122" s="56"/>
      <c r="L122" s="148"/>
      <c r="M122" s="148"/>
      <c r="N122" s="148"/>
      <c r="O122" s="148"/>
      <c r="P122" s="148"/>
      <c r="Q122" s="148"/>
      <c r="R122" s="148"/>
    </row>
    <row r="123" spans="1:18" s="44" customFormat="1" ht="16.5" customHeight="1">
      <c r="A123" s="305">
        <v>44</v>
      </c>
      <c r="B123" s="318" t="s">
        <v>158</v>
      </c>
      <c r="C123" s="82" t="s">
        <v>159</v>
      </c>
      <c r="D123" s="65" t="s">
        <v>296</v>
      </c>
      <c r="E123" s="34">
        <v>3782.9</v>
      </c>
      <c r="F123" s="31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</row>
    <row r="124" spans="1:18" s="44" customFormat="1" ht="13.5" customHeight="1">
      <c r="A124" s="305"/>
      <c r="B124" s="318"/>
      <c r="C124" s="321" t="s">
        <v>287</v>
      </c>
      <c r="D124" s="322"/>
      <c r="E124" s="11">
        <v>3782.9</v>
      </c>
      <c r="F124" s="31"/>
      <c r="G124" s="140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</row>
    <row r="125" spans="1:18" s="8" customFormat="1" ht="13.8">
      <c r="A125" s="306" t="s">
        <v>291</v>
      </c>
      <c r="B125" s="307"/>
      <c r="C125" s="308"/>
      <c r="D125" s="68" t="s">
        <v>296</v>
      </c>
      <c r="E125" s="12">
        <f>SUMIF(D95:D124,"=03",E95:E124)</f>
        <v>23332.9</v>
      </c>
      <c r="F125" s="50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s="44" customFormat="1" ht="26.4">
      <c r="A126" s="386">
        <v>45</v>
      </c>
      <c r="B126" s="327" t="s">
        <v>161</v>
      </c>
      <c r="C126" s="70" t="s">
        <v>162</v>
      </c>
      <c r="D126" s="33" t="s">
        <v>299</v>
      </c>
      <c r="E126" s="62">
        <v>300</v>
      </c>
      <c r="F126" s="3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</row>
    <row r="127" spans="1:18" s="44" customFormat="1" ht="15.6">
      <c r="A127" s="386"/>
      <c r="B127" s="328"/>
      <c r="C127" s="321" t="s">
        <v>287</v>
      </c>
      <c r="D127" s="322"/>
      <c r="E127" s="142">
        <v>300</v>
      </c>
      <c r="F127" s="35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1:18" s="44" customFormat="1" ht="28.5" customHeight="1">
      <c r="A128" s="386">
        <v>46</v>
      </c>
      <c r="B128" s="387">
        <v>20407010401</v>
      </c>
      <c r="C128" s="22" t="s">
        <v>164</v>
      </c>
      <c r="D128" s="65" t="s">
        <v>299</v>
      </c>
      <c r="E128" s="74">
        <v>2426</v>
      </c>
      <c r="F128" s="22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</row>
    <row r="129" spans="1:18" s="44" customFormat="1" ht="15" customHeight="1">
      <c r="A129" s="386"/>
      <c r="B129" s="388"/>
      <c r="C129" s="321" t="s">
        <v>287</v>
      </c>
      <c r="D129" s="322"/>
      <c r="E129" s="142">
        <v>2426</v>
      </c>
      <c r="F129" s="22"/>
      <c r="G129" s="56"/>
      <c r="H129" s="56"/>
      <c r="I129" s="56"/>
      <c r="J129" s="56"/>
      <c r="K129" s="56"/>
      <c r="L129" s="56"/>
      <c r="M129" s="56"/>
      <c r="N129" s="56"/>
      <c r="O129" s="56"/>
      <c r="P129" s="148"/>
      <c r="Q129" s="148"/>
      <c r="R129" s="148"/>
    </row>
    <row r="130" spans="1:18" s="44" customFormat="1" ht="28.5" customHeight="1">
      <c r="A130" s="386">
        <v>47</v>
      </c>
      <c r="B130" s="395" t="s">
        <v>165</v>
      </c>
      <c r="C130" s="255" t="s">
        <v>166</v>
      </c>
      <c r="D130" s="185" t="s">
        <v>299</v>
      </c>
      <c r="E130" s="62">
        <v>2000</v>
      </c>
      <c r="F130" s="22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</row>
    <row r="131" spans="1:18" s="44" customFormat="1" ht="15" customHeight="1">
      <c r="A131" s="386"/>
      <c r="B131" s="396"/>
      <c r="C131" s="346" t="s">
        <v>300</v>
      </c>
      <c r="D131" s="347"/>
      <c r="E131" s="142">
        <v>2000</v>
      </c>
      <c r="F131" s="22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</row>
    <row r="132" spans="1:18" s="44" customFormat="1" ht="39" customHeight="1">
      <c r="A132" s="386">
        <v>48</v>
      </c>
      <c r="B132" s="390" t="s">
        <v>167</v>
      </c>
      <c r="C132" s="224" t="s">
        <v>168</v>
      </c>
      <c r="D132" s="185" t="s">
        <v>299</v>
      </c>
      <c r="E132" s="74">
        <v>130</v>
      </c>
      <c r="F132" s="22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</row>
    <row r="133" spans="1:18" s="44" customFormat="1" ht="14.25" customHeight="1">
      <c r="A133" s="386"/>
      <c r="B133" s="391"/>
      <c r="C133" s="346" t="s">
        <v>285</v>
      </c>
      <c r="D133" s="347"/>
      <c r="E133" s="142">
        <v>130</v>
      </c>
      <c r="F133" s="22"/>
      <c r="G133" s="140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</row>
    <row r="134" spans="1:18" s="44" customFormat="1" ht="37.5" customHeight="1">
      <c r="A134" s="386">
        <v>49</v>
      </c>
      <c r="B134" s="392" t="s">
        <v>170</v>
      </c>
      <c r="C134" s="224" t="s">
        <v>171</v>
      </c>
      <c r="D134" s="185" t="s">
        <v>299</v>
      </c>
      <c r="E134" s="62">
        <v>10100</v>
      </c>
      <c r="F134" s="22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</row>
    <row r="135" spans="1:18" s="44" customFormat="1" ht="14.25" customHeight="1">
      <c r="A135" s="386"/>
      <c r="B135" s="393"/>
      <c r="C135" s="394" t="s">
        <v>286</v>
      </c>
      <c r="D135" s="394"/>
      <c r="E135" s="143">
        <v>10100</v>
      </c>
      <c r="F135" s="22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</row>
    <row r="136" spans="1:18" s="44" customFormat="1" ht="30.75" customHeight="1">
      <c r="A136" s="386">
        <v>50</v>
      </c>
      <c r="B136" s="390" t="s">
        <v>172</v>
      </c>
      <c r="C136" s="256" t="s">
        <v>173</v>
      </c>
      <c r="D136" s="185" t="s">
        <v>299</v>
      </c>
      <c r="E136" s="74">
        <v>80</v>
      </c>
      <c r="F136" s="153" t="s">
        <v>301</v>
      </c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</row>
    <row r="137" spans="1:18" s="44" customFormat="1" ht="14.25" customHeight="1">
      <c r="A137" s="386"/>
      <c r="B137" s="391"/>
      <c r="C137" s="346" t="s">
        <v>302</v>
      </c>
      <c r="D137" s="347"/>
      <c r="E137" s="143">
        <v>80</v>
      </c>
      <c r="F137" s="22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</row>
    <row r="138" spans="1:18" s="44" customFormat="1" ht="22.5" hidden="1" customHeight="1">
      <c r="A138" s="377">
        <v>73</v>
      </c>
      <c r="B138" s="331" t="s">
        <v>174</v>
      </c>
      <c r="C138" s="144" t="s">
        <v>175</v>
      </c>
      <c r="D138" s="134" t="s">
        <v>299</v>
      </c>
      <c r="E138" s="145"/>
      <c r="F138" s="22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1:18" s="44" customFormat="1" ht="14.25" hidden="1" customHeight="1">
      <c r="A139" s="377"/>
      <c r="B139" s="332"/>
      <c r="C139" s="329" t="s">
        <v>285</v>
      </c>
      <c r="D139" s="330"/>
      <c r="E139" s="146"/>
      <c r="F139" s="22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</row>
    <row r="140" spans="1:18" s="44" customFormat="1" ht="27" customHeight="1">
      <c r="A140" s="378">
        <v>51</v>
      </c>
      <c r="B140" s="327" t="s">
        <v>176</v>
      </c>
      <c r="C140" s="22" t="s">
        <v>177</v>
      </c>
      <c r="D140" s="65" t="s">
        <v>299</v>
      </c>
      <c r="E140" s="62">
        <v>665.3</v>
      </c>
      <c r="F140" s="154" t="s">
        <v>303</v>
      </c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</row>
    <row r="141" spans="1:18" s="44" customFormat="1" ht="14.25" customHeight="1">
      <c r="A141" s="378"/>
      <c r="B141" s="328"/>
      <c r="C141" s="321" t="s">
        <v>302</v>
      </c>
      <c r="D141" s="322"/>
      <c r="E141" s="142">
        <v>665.3</v>
      </c>
      <c r="F141" s="22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</row>
    <row r="142" spans="1:18" s="8" customFormat="1" ht="13.8">
      <c r="A142" s="306" t="s">
        <v>291</v>
      </c>
      <c r="B142" s="307"/>
      <c r="C142" s="308"/>
      <c r="D142" s="71" t="s">
        <v>299</v>
      </c>
      <c r="E142" s="12">
        <f>E126+E128+E130+E132+E134+E136+E138+E140</f>
        <v>15701.3</v>
      </c>
      <c r="F142" s="50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</row>
    <row r="143" spans="1:18" s="37" customFormat="1" ht="39.6">
      <c r="A143" s="333">
        <v>52</v>
      </c>
      <c r="B143" s="375">
        <v>20502030301</v>
      </c>
      <c r="C143" s="266" t="s">
        <v>304</v>
      </c>
      <c r="D143" s="267" t="s">
        <v>305</v>
      </c>
      <c r="E143" s="10">
        <v>12545.7</v>
      </c>
      <c r="F143" s="31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 s="37" customFormat="1" ht="13.5" customHeight="1">
      <c r="A144" s="333"/>
      <c r="B144" s="376"/>
      <c r="C144" s="268" t="s">
        <v>306</v>
      </c>
      <c r="D144" s="269"/>
      <c r="E144" s="73">
        <v>12545.7</v>
      </c>
      <c r="F144" s="31"/>
      <c r="G144" s="48"/>
      <c r="H144" s="49"/>
      <c r="I144" s="49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1:18" s="37" customFormat="1" ht="26.25" customHeight="1">
      <c r="A145" s="333">
        <v>53</v>
      </c>
      <c r="B145" s="375">
        <v>20502030303</v>
      </c>
      <c r="C145" s="270" t="s">
        <v>307</v>
      </c>
      <c r="D145" s="267" t="s">
        <v>305</v>
      </c>
      <c r="E145" s="34">
        <v>1200</v>
      </c>
      <c r="F145" s="31"/>
      <c r="G145" s="31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 s="37" customFormat="1" ht="13.5" customHeight="1">
      <c r="A146" s="333"/>
      <c r="B146" s="376"/>
      <c r="C146" s="268" t="s">
        <v>306</v>
      </c>
      <c r="D146" s="269"/>
      <c r="E146" s="11">
        <v>1200</v>
      </c>
      <c r="F146" s="31"/>
      <c r="G146" s="48"/>
      <c r="H146" s="49"/>
      <c r="I146" s="49"/>
      <c r="J146" s="49"/>
      <c r="K146" s="58"/>
      <c r="L146" s="58"/>
      <c r="M146" s="58"/>
      <c r="N146" s="58"/>
      <c r="O146" s="58"/>
      <c r="P146" s="58"/>
      <c r="Q146" s="58"/>
      <c r="R146" s="58"/>
    </row>
    <row r="147" spans="1:18" s="37" customFormat="1" ht="13.5" customHeight="1">
      <c r="A147" s="333">
        <v>54</v>
      </c>
      <c r="B147" s="375" t="s">
        <v>183</v>
      </c>
      <c r="C147" s="270" t="s">
        <v>184</v>
      </c>
      <c r="D147" s="267" t="s">
        <v>305</v>
      </c>
      <c r="E147" s="10">
        <v>8856.7999999999993</v>
      </c>
      <c r="F147" s="31"/>
      <c r="G147" s="31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</row>
    <row r="148" spans="1:18" s="37" customFormat="1" ht="13.5" customHeight="1">
      <c r="A148" s="333"/>
      <c r="B148" s="376"/>
      <c r="C148" s="268" t="s">
        <v>306</v>
      </c>
      <c r="D148" s="269"/>
      <c r="E148" s="11">
        <v>8856.7999999999993</v>
      </c>
      <c r="F148" s="31"/>
      <c r="G148" s="129"/>
      <c r="H148" s="35"/>
      <c r="I148" s="35"/>
      <c r="J148" s="35"/>
      <c r="K148" s="35"/>
      <c r="L148" s="58"/>
      <c r="M148" s="58"/>
      <c r="N148" s="58"/>
      <c r="O148" s="58"/>
      <c r="P148" s="58"/>
      <c r="Q148" s="58"/>
      <c r="R148" s="58"/>
    </row>
    <row r="149" spans="1:18" s="37" customFormat="1" ht="52.5" hidden="1" customHeight="1">
      <c r="A149" s="372">
        <v>79</v>
      </c>
      <c r="B149" s="383" t="s">
        <v>185</v>
      </c>
      <c r="C149" s="271" t="s">
        <v>186</v>
      </c>
      <c r="D149" s="272" t="s">
        <v>305</v>
      </c>
      <c r="E149" s="118"/>
      <c r="F149" s="31"/>
      <c r="G149" s="31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</row>
    <row r="150" spans="1:18" s="37" customFormat="1" ht="13.5" hidden="1" customHeight="1">
      <c r="A150" s="372"/>
      <c r="B150" s="384"/>
      <c r="C150" s="273" t="s">
        <v>306</v>
      </c>
      <c r="D150" s="274"/>
      <c r="E150" s="131"/>
      <c r="F150" s="31"/>
      <c r="G150" s="31"/>
      <c r="H150" s="35"/>
      <c r="I150" s="35"/>
      <c r="J150" s="35"/>
      <c r="K150" s="35"/>
      <c r="L150" s="58"/>
      <c r="M150" s="58"/>
      <c r="N150" s="58"/>
      <c r="O150" s="58"/>
      <c r="P150" s="58"/>
      <c r="Q150" s="58"/>
      <c r="R150" s="58"/>
    </row>
    <row r="151" spans="1:18" s="37" customFormat="1" ht="15.75" customHeight="1">
      <c r="A151" s="333">
        <v>55</v>
      </c>
      <c r="B151" s="375" t="s">
        <v>187</v>
      </c>
      <c r="C151" s="270" t="s">
        <v>188</v>
      </c>
      <c r="D151" s="267" t="s">
        <v>305</v>
      </c>
      <c r="E151" s="10">
        <v>1344</v>
      </c>
      <c r="F151" s="31"/>
      <c r="G151" s="31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</row>
    <row r="152" spans="1:18" s="37" customFormat="1" ht="13.5" customHeight="1">
      <c r="A152" s="333"/>
      <c r="B152" s="376"/>
      <c r="C152" s="268" t="s">
        <v>306</v>
      </c>
      <c r="D152" s="269"/>
      <c r="E152" s="11">
        <v>1344</v>
      </c>
      <c r="F152" s="31"/>
      <c r="G152" s="129"/>
      <c r="H152" s="35"/>
      <c r="I152" s="35"/>
      <c r="J152" s="35"/>
      <c r="K152" s="35"/>
      <c r="L152" s="58"/>
      <c r="M152" s="58"/>
      <c r="N152" s="58"/>
      <c r="O152" s="58"/>
      <c r="P152" s="58"/>
      <c r="Q152" s="58"/>
      <c r="R152" s="58"/>
    </row>
    <row r="153" spans="1:18" s="37" customFormat="1" ht="26.25" hidden="1" customHeight="1">
      <c r="A153" s="372">
        <v>81</v>
      </c>
      <c r="B153" s="383" t="s">
        <v>189</v>
      </c>
      <c r="C153" s="271" t="s">
        <v>190</v>
      </c>
      <c r="D153" s="272" t="s">
        <v>305</v>
      </c>
      <c r="E153" s="118"/>
      <c r="F153" s="31"/>
      <c r="G153" s="31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</row>
    <row r="154" spans="1:18" s="37" customFormat="1" ht="13.5" hidden="1" customHeight="1">
      <c r="A154" s="372"/>
      <c r="B154" s="384"/>
      <c r="C154" s="273" t="s">
        <v>306</v>
      </c>
      <c r="D154" s="274"/>
      <c r="E154" s="131"/>
      <c r="F154" s="31"/>
      <c r="G154" s="31"/>
      <c r="H154" s="35"/>
      <c r="I154" s="35"/>
      <c r="J154" s="35"/>
      <c r="K154" s="35"/>
      <c r="L154" s="58"/>
      <c r="M154" s="58"/>
      <c r="N154" s="58"/>
      <c r="O154" s="58"/>
      <c r="P154" s="58"/>
      <c r="Q154" s="58"/>
      <c r="R154" s="58"/>
    </row>
    <row r="155" spans="1:18" s="37" customFormat="1" ht="27.75" hidden="1" customHeight="1">
      <c r="A155" s="372">
        <v>82</v>
      </c>
      <c r="B155" s="383">
        <v>20502030304</v>
      </c>
      <c r="C155" s="271" t="s">
        <v>191</v>
      </c>
      <c r="D155" s="272" t="s">
        <v>305</v>
      </c>
      <c r="E155" s="118"/>
      <c r="F155" s="31"/>
      <c r="G155" s="31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</row>
    <row r="156" spans="1:18" s="37" customFormat="1" ht="13.5" hidden="1" customHeight="1">
      <c r="A156" s="372"/>
      <c r="B156" s="384"/>
      <c r="C156" s="273" t="s">
        <v>306</v>
      </c>
      <c r="D156" s="274"/>
      <c r="E156" s="131"/>
      <c r="F156" s="31"/>
      <c r="G156" s="48"/>
      <c r="H156" s="49"/>
      <c r="I156" s="49"/>
      <c r="J156" s="49"/>
      <c r="K156" s="58"/>
      <c r="L156" s="58"/>
      <c r="M156" s="58"/>
      <c r="N156" s="58"/>
      <c r="O156" s="58"/>
      <c r="P156" s="35"/>
      <c r="Q156" s="35"/>
      <c r="R156" s="35"/>
    </row>
    <row r="157" spans="1:18" ht="14.25" customHeight="1">
      <c r="A157" s="333">
        <v>56</v>
      </c>
      <c r="B157" s="385" t="s">
        <v>192</v>
      </c>
      <c r="C157" s="275" t="s">
        <v>193</v>
      </c>
      <c r="D157" s="267" t="s">
        <v>305</v>
      </c>
      <c r="E157" s="10">
        <v>2300</v>
      </c>
      <c r="F157" s="35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</row>
    <row r="158" spans="1:18" ht="14.25" customHeight="1">
      <c r="A158" s="333"/>
      <c r="B158" s="385"/>
      <c r="C158" s="276" t="s">
        <v>285</v>
      </c>
      <c r="D158" s="269"/>
      <c r="E158" s="73">
        <v>2300</v>
      </c>
      <c r="F158" s="31"/>
      <c r="G158" s="48"/>
      <c r="H158" s="49"/>
      <c r="I158" s="57"/>
      <c r="J158" s="57"/>
      <c r="K158" s="57"/>
      <c r="L158" s="57"/>
      <c r="M158" s="57"/>
      <c r="N158" s="57"/>
      <c r="O158" s="57"/>
      <c r="P158" s="57"/>
      <c r="Q158" s="48"/>
      <c r="R158" s="48"/>
    </row>
    <row r="159" spans="1:18" ht="39.75" customHeight="1">
      <c r="A159" s="333">
        <v>57</v>
      </c>
      <c r="B159" s="343" t="s">
        <v>194</v>
      </c>
      <c r="C159" s="270" t="s">
        <v>195</v>
      </c>
      <c r="D159" s="267" t="s">
        <v>305</v>
      </c>
      <c r="E159" s="10">
        <v>2400</v>
      </c>
      <c r="F159" s="35"/>
      <c r="G159" s="35"/>
      <c r="H159" s="35"/>
      <c r="I159" s="31"/>
      <c r="J159" s="31"/>
      <c r="K159" s="31"/>
      <c r="L159" s="31"/>
      <c r="M159" s="31"/>
      <c r="N159" s="31"/>
      <c r="O159" s="31"/>
      <c r="P159" s="31"/>
      <c r="Q159" s="31"/>
      <c r="R159" s="31"/>
    </row>
    <row r="160" spans="1:18" ht="12" customHeight="1">
      <c r="A160" s="333"/>
      <c r="B160" s="344"/>
      <c r="C160" s="268" t="s">
        <v>306</v>
      </c>
      <c r="D160" s="269"/>
      <c r="E160" s="11">
        <v>2400</v>
      </c>
      <c r="F160" s="35"/>
      <c r="G160" s="130"/>
      <c r="H160" s="35"/>
      <c r="I160" s="48"/>
      <c r="J160" s="48"/>
      <c r="K160" s="48"/>
      <c r="L160" s="57"/>
      <c r="M160" s="57"/>
      <c r="N160" s="57"/>
      <c r="O160" s="57"/>
      <c r="P160" s="57"/>
      <c r="Q160" s="57"/>
      <c r="R160" s="57"/>
    </row>
    <row r="161" spans="1:18" ht="66.75" customHeight="1">
      <c r="A161" s="333">
        <v>58</v>
      </c>
      <c r="B161" s="343" t="s">
        <v>196</v>
      </c>
      <c r="C161" s="270" t="s">
        <v>197</v>
      </c>
      <c r="D161" s="267" t="s">
        <v>305</v>
      </c>
      <c r="E161" s="34">
        <v>100</v>
      </c>
      <c r="F161" s="35"/>
      <c r="G161" s="35"/>
      <c r="H161" s="35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2" spans="1:18" ht="12" customHeight="1">
      <c r="A162" s="333"/>
      <c r="B162" s="344"/>
      <c r="C162" s="268" t="s">
        <v>286</v>
      </c>
      <c r="D162" s="269"/>
      <c r="E162" s="11">
        <v>100</v>
      </c>
      <c r="F162" s="35"/>
      <c r="G162" s="130"/>
      <c r="H162" s="35"/>
      <c r="I162" s="48"/>
      <c r="J162" s="48"/>
      <c r="K162" s="48"/>
      <c r="L162" s="57"/>
      <c r="M162" s="57"/>
      <c r="N162" s="57"/>
      <c r="O162" s="57"/>
      <c r="P162" s="57"/>
      <c r="Q162" s="57"/>
      <c r="R162" s="57"/>
    </row>
    <row r="163" spans="1:18" ht="32.25" customHeight="1">
      <c r="A163" s="333">
        <v>59</v>
      </c>
      <c r="B163" s="343" t="s">
        <v>198</v>
      </c>
      <c r="C163" s="277" t="s">
        <v>199</v>
      </c>
      <c r="D163" s="267" t="s">
        <v>305</v>
      </c>
      <c r="E163" s="34">
        <v>593</v>
      </c>
      <c r="F163" s="35"/>
      <c r="G163" s="35"/>
      <c r="H163" s="35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4" spans="1:18" ht="12" customHeight="1">
      <c r="A164" s="333"/>
      <c r="B164" s="344"/>
      <c r="C164" s="268" t="s">
        <v>306</v>
      </c>
      <c r="D164" s="269"/>
      <c r="E164" s="11">
        <v>593</v>
      </c>
      <c r="F164" s="35"/>
      <c r="G164" s="130"/>
      <c r="H164" s="35"/>
      <c r="I164" s="48"/>
      <c r="J164" s="48"/>
      <c r="K164" s="48"/>
      <c r="L164" s="57"/>
      <c r="M164" s="57"/>
      <c r="N164" s="57"/>
      <c r="O164" s="57"/>
      <c r="P164" s="57"/>
      <c r="Q164" s="57"/>
      <c r="R164" s="57"/>
    </row>
    <row r="165" spans="1:18" ht="25.5" customHeight="1">
      <c r="A165" s="333">
        <v>60</v>
      </c>
      <c r="B165" s="343" t="s">
        <v>202</v>
      </c>
      <c r="C165" s="270" t="s">
        <v>203</v>
      </c>
      <c r="D165" s="267" t="s">
        <v>305</v>
      </c>
      <c r="E165" s="10">
        <v>1573.6</v>
      </c>
      <c r="F165" s="35"/>
      <c r="G165" s="35"/>
      <c r="H165" s="35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6" spans="1:18" ht="12" customHeight="1">
      <c r="A166" s="333"/>
      <c r="B166" s="344"/>
      <c r="C166" s="268" t="s">
        <v>286</v>
      </c>
      <c r="D166" s="269"/>
      <c r="E166" s="11">
        <v>1573.6</v>
      </c>
      <c r="F166" s="35"/>
      <c r="G166" s="130"/>
      <c r="H166" s="35"/>
      <c r="I166" s="31"/>
      <c r="J166" s="31"/>
      <c r="K166" s="31"/>
      <c r="L166" s="31"/>
      <c r="M166" s="31"/>
      <c r="N166" s="31"/>
      <c r="O166" s="31"/>
      <c r="P166" s="57"/>
      <c r="Q166" s="57"/>
      <c r="R166" s="57"/>
    </row>
    <row r="167" spans="1:18" ht="26.4" hidden="1">
      <c r="A167" s="372">
        <v>87</v>
      </c>
      <c r="B167" s="373" t="s">
        <v>204</v>
      </c>
      <c r="C167" s="278" t="s">
        <v>205</v>
      </c>
      <c r="D167" s="272" t="s">
        <v>305</v>
      </c>
      <c r="E167" s="126"/>
      <c r="F167" s="35"/>
      <c r="G167" s="35"/>
      <c r="H167" s="35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68" spans="1:18" hidden="1">
      <c r="A168" s="372"/>
      <c r="B168" s="374"/>
      <c r="C168" s="273" t="s">
        <v>306</v>
      </c>
      <c r="D168" s="274"/>
      <c r="E168" s="131"/>
      <c r="F168" s="35"/>
      <c r="G168" s="49"/>
      <c r="H168" s="49"/>
      <c r="I168" s="48"/>
      <c r="J168" s="48"/>
      <c r="K168" s="48"/>
      <c r="L168" s="48"/>
      <c r="M168" s="48"/>
      <c r="N168" s="48"/>
      <c r="O168" s="48"/>
      <c r="P168" s="31"/>
      <c r="Q168" s="31"/>
      <c r="R168" s="31"/>
    </row>
    <row r="169" spans="1:18" ht="15" customHeight="1">
      <c r="A169" s="333">
        <v>61</v>
      </c>
      <c r="B169" s="334" t="s">
        <v>206</v>
      </c>
      <c r="C169" s="277" t="s">
        <v>207</v>
      </c>
      <c r="D169" s="267" t="s">
        <v>305</v>
      </c>
      <c r="E169" s="34">
        <v>4663.7</v>
      </c>
      <c r="F169" s="35"/>
      <c r="G169" s="35"/>
      <c r="H169" s="35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>
      <c r="A170" s="333"/>
      <c r="B170" s="335"/>
      <c r="C170" s="268" t="s">
        <v>306</v>
      </c>
      <c r="D170" s="269"/>
      <c r="E170" s="11">
        <v>4663.7</v>
      </c>
      <c r="F170" s="35"/>
      <c r="G170" s="130"/>
      <c r="H170" s="49"/>
      <c r="I170" s="48"/>
      <c r="J170" s="48"/>
      <c r="K170" s="48"/>
      <c r="L170" s="48"/>
      <c r="M170" s="48"/>
      <c r="N170" s="48"/>
      <c r="O170" s="48"/>
      <c r="P170" s="48"/>
      <c r="Q170" s="48"/>
      <c r="R170" s="48"/>
    </row>
    <row r="171" spans="1:18" ht="61.5" customHeight="1">
      <c r="A171" s="333">
        <v>62</v>
      </c>
      <c r="B171" s="334" t="s">
        <v>208</v>
      </c>
      <c r="C171" s="277" t="s">
        <v>209</v>
      </c>
      <c r="D171" s="267" t="s">
        <v>305</v>
      </c>
      <c r="E171" s="34">
        <v>50</v>
      </c>
      <c r="F171" s="35"/>
      <c r="G171" s="35"/>
      <c r="H171" s="35"/>
      <c r="I171" s="31"/>
      <c r="J171" s="31"/>
      <c r="K171" s="31"/>
      <c r="L171" s="31"/>
      <c r="M171" s="31"/>
      <c r="N171" s="31"/>
      <c r="O171" s="31"/>
      <c r="P171" s="31"/>
      <c r="Q171" s="31"/>
      <c r="R171" s="31"/>
    </row>
    <row r="172" spans="1:18">
      <c r="A172" s="333"/>
      <c r="B172" s="335"/>
      <c r="C172" s="268" t="s">
        <v>286</v>
      </c>
      <c r="D172" s="269"/>
      <c r="E172" s="11">
        <v>50</v>
      </c>
      <c r="F172" s="35"/>
      <c r="G172" s="130"/>
      <c r="H172" s="49"/>
      <c r="I172" s="48"/>
      <c r="J172" s="48"/>
      <c r="K172" s="48"/>
      <c r="L172" s="48"/>
      <c r="M172" s="48"/>
      <c r="N172" s="48"/>
      <c r="O172" s="48"/>
      <c r="P172" s="48"/>
      <c r="Q172" s="48"/>
      <c r="R172" s="48"/>
    </row>
    <row r="173" spans="1:18" ht="19.5" customHeight="1">
      <c r="A173" s="333">
        <v>63</v>
      </c>
      <c r="B173" s="334" t="s">
        <v>210</v>
      </c>
      <c r="C173" s="277" t="s">
        <v>211</v>
      </c>
      <c r="D173" s="267" t="s">
        <v>305</v>
      </c>
      <c r="E173" s="10">
        <v>400</v>
      </c>
      <c r="F173" s="35"/>
      <c r="G173" s="35"/>
      <c r="H173" s="35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>
      <c r="A174" s="333"/>
      <c r="B174" s="335"/>
      <c r="C174" s="268" t="s">
        <v>286</v>
      </c>
      <c r="D174" s="269"/>
      <c r="E174" s="11">
        <v>400</v>
      </c>
      <c r="F174" s="35"/>
      <c r="G174" s="130"/>
      <c r="H174" s="49"/>
      <c r="I174" s="48"/>
      <c r="J174" s="48"/>
      <c r="K174" s="48"/>
      <c r="L174" s="48"/>
      <c r="M174" s="48"/>
      <c r="N174" s="48"/>
      <c r="O174" s="48"/>
      <c r="P174" s="48"/>
      <c r="Q174" s="48"/>
      <c r="R174" s="48"/>
    </row>
    <row r="175" spans="1:18" ht="26.4">
      <c r="A175" s="333">
        <v>64</v>
      </c>
      <c r="B175" s="334" t="s">
        <v>212</v>
      </c>
      <c r="C175" s="277" t="s">
        <v>213</v>
      </c>
      <c r="D175" s="267" t="s">
        <v>305</v>
      </c>
      <c r="E175" s="10">
        <v>10613</v>
      </c>
      <c r="F175" s="35"/>
      <c r="G175" s="35"/>
      <c r="H175" s="35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6" spans="1:18">
      <c r="A176" s="333"/>
      <c r="B176" s="335"/>
      <c r="C176" s="276" t="s">
        <v>285</v>
      </c>
      <c r="D176" s="269"/>
      <c r="E176" s="11">
        <v>10613</v>
      </c>
      <c r="F176" s="35"/>
      <c r="G176" s="130"/>
      <c r="H176" s="35"/>
      <c r="I176" s="31"/>
      <c r="J176" s="31"/>
      <c r="K176" s="31"/>
      <c r="L176" s="31"/>
      <c r="M176" s="31"/>
      <c r="N176" s="31"/>
      <c r="O176" s="31"/>
      <c r="P176" s="31"/>
      <c r="Q176" s="31"/>
      <c r="R176" s="48"/>
    </row>
    <row r="177" spans="1:18" ht="39.6">
      <c r="A177" s="333">
        <v>65</v>
      </c>
      <c r="B177" s="375">
        <v>20502040101</v>
      </c>
      <c r="C177" s="279" t="s">
        <v>214</v>
      </c>
      <c r="D177" s="267" t="s">
        <v>305</v>
      </c>
      <c r="E177" s="10">
        <v>3719</v>
      </c>
      <c r="F177" s="35"/>
      <c r="G177" s="35"/>
      <c r="H177" s="35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8" spans="1:18">
      <c r="A178" s="333"/>
      <c r="B178" s="376"/>
      <c r="C178" s="336" t="s">
        <v>294</v>
      </c>
      <c r="D178" s="337"/>
      <c r="E178" s="11">
        <v>3719</v>
      </c>
      <c r="F178" s="35"/>
      <c r="G178" s="130"/>
      <c r="H178" s="35"/>
      <c r="I178" s="31"/>
      <c r="J178" s="31"/>
      <c r="K178" s="31"/>
      <c r="L178" s="48"/>
      <c r="M178" s="48"/>
      <c r="N178" s="48"/>
      <c r="O178" s="48"/>
      <c r="P178" s="48"/>
      <c r="Q178" s="48"/>
      <c r="R178" s="48"/>
    </row>
    <row r="179" spans="1:18">
      <c r="A179" s="338" t="s">
        <v>291</v>
      </c>
      <c r="B179" s="339"/>
      <c r="C179" s="340"/>
      <c r="D179" s="280" t="s">
        <v>305</v>
      </c>
      <c r="E179" s="12">
        <f>SUMIF(D143:D178,"=05",E143:E178)</f>
        <v>50358.799999999996</v>
      </c>
      <c r="F179" s="35"/>
      <c r="G179" s="35"/>
      <c r="H179" s="35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0" spans="1:18" s="37" customFormat="1" ht="42" customHeight="1">
      <c r="A180" s="341">
        <v>67</v>
      </c>
      <c r="B180" s="375">
        <v>20704010202</v>
      </c>
      <c r="C180" s="281" t="s">
        <v>216</v>
      </c>
      <c r="D180" s="267" t="s">
        <v>308</v>
      </c>
      <c r="E180" s="10">
        <v>382.9</v>
      </c>
      <c r="F180" s="9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</row>
    <row r="181" spans="1:18" s="37" customFormat="1">
      <c r="A181" s="342"/>
      <c r="B181" s="376"/>
      <c r="C181" s="268" t="s">
        <v>297</v>
      </c>
      <c r="D181" s="269"/>
      <c r="E181" s="11">
        <v>382.9</v>
      </c>
      <c r="F181" s="9"/>
      <c r="G181" s="130"/>
      <c r="H181" s="49"/>
      <c r="I181" s="49"/>
      <c r="J181" s="49"/>
      <c r="K181" s="49"/>
      <c r="L181" s="49"/>
      <c r="M181" s="49"/>
      <c r="N181" s="35"/>
      <c r="O181" s="35"/>
      <c r="P181" s="35"/>
      <c r="Q181" s="35"/>
      <c r="R181" s="35"/>
    </row>
    <row r="182" spans="1:18" ht="26.4">
      <c r="A182" s="341">
        <v>68</v>
      </c>
      <c r="B182" s="343" t="s">
        <v>217</v>
      </c>
      <c r="C182" s="266" t="s">
        <v>218</v>
      </c>
      <c r="D182" s="267" t="s">
        <v>308</v>
      </c>
      <c r="E182" s="10">
        <v>1000</v>
      </c>
      <c r="F182" s="35"/>
      <c r="G182" s="35"/>
      <c r="H182" s="35"/>
      <c r="I182" s="31"/>
      <c r="J182" s="31"/>
      <c r="K182" s="31"/>
      <c r="L182" s="31"/>
      <c r="M182" s="31"/>
      <c r="N182" s="31"/>
      <c r="O182" s="31"/>
      <c r="P182" s="31"/>
      <c r="Q182" s="31"/>
      <c r="R182" s="31"/>
    </row>
    <row r="183" spans="1:18">
      <c r="A183" s="342"/>
      <c r="B183" s="344"/>
      <c r="C183" s="276" t="s">
        <v>306</v>
      </c>
      <c r="D183" s="269"/>
      <c r="E183" s="11">
        <v>1000</v>
      </c>
      <c r="F183" s="35"/>
      <c r="G183" s="130"/>
      <c r="H183" s="49"/>
      <c r="I183" s="48"/>
      <c r="J183" s="48"/>
      <c r="K183" s="48"/>
      <c r="L183" s="48"/>
      <c r="M183" s="48"/>
      <c r="N183" s="48"/>
      <c r="O183" s="48"/>
      <c r="P183" s="48"/>
      <c r="Q183" s="48"/>
      <c r="R183" s="48"/>
    </row>
    <row r="184" spans="1:18" ht="52.5" customHeight="1">
      <c r="A184" s="341">
        <v>69</v>
      </c>
      <c r="B184" s="343" t="s">
        <v>219</v>
      </c>
      <c r="C184" s="266" t="s">
        <v>220</v>
      </c>
      <c r="D184" s="267" t="s">
        <v>308</v>
      </c>
      <c r="E184" s="10">
        <v>960</v>
      </c>
      <c r="F184" s="35"/>
      <c r="G184" s="35"/>
      <c r="H184" s="35"/>
      <c r="I184" s="31"/>
      <c r="J184" s="31"/>
      <c r="K184" s="31"/>
      <c r="L184" s="31"/>
      <c r="M184" s="31"/>
      <c r="N184" s="31"/>
      <c r="O184" s="31"/>
      <c r="P184" s="31"/>
      <c r="Q184" s="31"/>
      <c r="R184" s="31"/>
    </row>
    <row r="185" spans="1:18">
      <c r="A185" s="342"/>
      <c r="B185" s="344"/>
      <c r="C185" s="276" t="s">
        <v>306</v>
      </c>
      <c r="D185" s="269"/>
      <c r="E185" s="11">
        <v>960</v>
      </c>
      <c r="F185" s="35"/>
      <c r="G185" s="130"/>
      <c r="H185" s="49"/>
      <c r="I185" s="48"/>
      <c r="J185" s="48"/>
      <c r="K185" s="48"/>
      <c r="L185" s="48"/>
      <c r="M185" s="48"/>
      <c r="N185" s="48"/>
      <c r="O185" s="48"/>
      <c r="P185" s="48"/>
      <c r="Q185" s="48"/>
      <c r="R185" s="48"/>
    </row>
    <row r="186" spans="1:18" ht="51.75" hidden="1" customHeight="1">
      <c r="A186" s="381">
        <v>97</v>
      </c>
      <c r="B186" s="379" t="s">
        <v>222</v>
      </c>
      <c r="C186" s="271" t="s">
        <v>223</v>
      </c>
      <c r="D186" s="272" t="s">
        <v>308</v>
      </c>
      <c r="E186" s="126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</row>
    <row r="187" spans="1:18" ht="14.25" hidden="1" customHeight="1">
      <c r="A187" s="382"/>
      <c r="B187" s="380"/>
      <c r="C187" s="282" t="s">
        <v>306</v>
      </c>
      <c r="D187" s="274"/>
      <c r="E187" s="137"/>
      <c r="F187" s="35"/>
      <c r="G187" s="49"/>
      <c r="H187" s="48"/>
      <c r="I187" s="48"/>
      <c r="J187" s="31"/>
      <c r="K187" s="31"/>
      <c r="L187" s="31"/>
      <c r="M187" s="31"/>
      <c r="N187" s="31"/>
      <c r="O187" s="31"/>
      <c r="P187" s="31"/>
      <c r="Q187" s="31"/>
      <c r="R187" s="31"/>
    </row>
    <row r="188" spans="1:18" ht="39.75" customHeight="1">
      <c r="A188" s="341">
        <v>770</v>
      </c>
      <c r="B188" s="334" t="s">
        <v>224</v>
      </c>
      <c r="C188" s="277" t="s">
        <v>225</v>
      </c>
      <c r="D188" s="267" t="s">
        <v>308</v>
      </c>
      <c r="E188" s="10">
        <v>26.1</v>
      </c>
      <c r="F188" s="9"/>
      <c r="G188" s="31"/>
      <c r="H188" s="35"/>
      <c r="I188" s="31"/>
      <c r="J188" s="31"/>
      <c r="K188" s="31"/>
      <c r="L188" s="31"/>
      <c r="M188" s="31"/>
      <c r="N188" s="31"/>
      <c r="O188" s="31"/>
      <c r="P188" s="31"/>
      <c r="Q188" s="31"/>
      <c r="R188" s="31"/>
    </row>
    <row r="189" spans="1:18" ht="12.75" customHeight="1">
      <c r="A189" s="342"/>
      <c r="B189" s="335"/>
      <c r="C189" s="268" t="s">
        <v>309</v>
      </c>
      <c r="D189" s="269"/>
      <c r="E189" s="11">
        <v>26.1</v>
      </c>
      <c r="F189" s="31"/>
      <c r="G189" s="130"/>
      <c r="H189" s="49"/>
      <c r="I189" s="48"/>
      <c r="J189" s="48"/>
      <c r="K189" s="48"/>
      <c r="L189" s="48"/>
      <c r="M189" s="149"/>
      <c r="N189" s="149"/>
      <c r="O189" s="149"/>
      <c r="P189" s="31"/>
      <c r="Q189" s="31"/>
      <c r="R189" s="31"/>
    </row>
    <row r="190" spans="1:18" s="44" customFormat="1" ht="28.5" customHeight="1">
      <c r="A190" s="341">
        <v>71</v>
      </c>
      <c r="B190" s="334" t="s">
        <v>226</v>
      </c>
      <c r="C190" s="277" t="s">
        <v>227</v>
      </c>
      <c r="D190" s="267" t="s">
        <v>308</v>
      </c>
      <c r="E190" s="74">
        <v>1086.7</v>
      </c>
      <c r="F190" s="22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</row>
    <row r="191" spans="1:18" s="44" customFormat="1" ht="15" customHeight="1">
      <c r="A191" s="342"/>
      <c r="B191" s="335"/>
      <c r="C191" s="276" t="s">
        <v>306</v>
      </c>
      <c r="D191" s="269"/>
      <c r="E191" s="142">
        <v>1086.7</v>
      </c>
      <c r="F191" s="22"/>
      <c r="G191" s="140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</row>
    <row r="192" spans="1:18" s="44" customFormat="1" ht="26.25" customHeight="1">
      <c r="A192" s="341">
        <v>72</v>
      </c>
      <c r="B192" s="345" t="s">
        <v>228</v>
      </c>
      <c r="C192" s="283" t="s">
        <v>229</v>
      </c>
      <c r="D192" s="284" t="s">
        <v>308</v>
      </c>
      <c r="E192" s="34">
        <v>130.6</v>
      </c>
      <c r="F192" s="22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</row>
    <row r="193" spans="1:18" s="44" customFormat="1" ht="15" customHeight="1">
      <c r="A193" s="342"/>
      <c r="B193" s="345"/>
      <c r="C193" s="276" t="s">
        <v>306</v>
      </c>
      <c r="D193" s="285"/>
      <c r="E193" s="11">
        <v>130.6</v>
      </c>
      <c r="F193" s="22"/>
      <c r="G193" s="147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</row>
    <row r="194" spans="1:18" s="44" customFormat="1" ht="25.5" customHeight="1">
      <c r="A194" s="341">
        <v>73</v>
      </c>
      <c r="B194" s="334" t="s">
        <v>230</v>
      </c>
      <c r="C194" s="283" t="s">
        <v>231</v>
      </c>
      <c r="D194" s="284" t="s">
        <v>308</v>
      </c>
      <c r="E194" s="10">
        <v>750</v>
      </c>
      <c r="F194" s="22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</row>
    <row r="195" spans="1:18" s="44" customFormat="1" ht="15" customHeight="1">
      <c r="A195" s="342"/>
      <c r="B195" s="335"/>
      <c r="C195" s="276" t="s">
        <v>306</v>
      </c>
      <c r="D195" s="286"/>
      <c r="E195" s="11">
        <v>750</v>
      </c>
      <c r="F195" s="22"/>
      <c r="G195" s="140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</row>
    <row r="196" spans="1:18" s="44" customFormat="1" ht="26.4">
      <c r="A196" s="341">
        <v>74</v>
      </c>
      <c r="B196" s="345" t="s">
        <v>232</v>
      </c>
      <c r="C196" s="283" t="s">
        <v>233</v>
      </c>
      <c r="D196" s="284" t="s">
        <v>308</v>
      </c>
      <c r="E196" s="10">
        <v>151</v>
      </c>
      <c r="F196" s="22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</row>
    <row r="197" spans="1:18" s="44" customFormat="1" ht="15" customHeight="1">
      <c r="A197" s="342"/>
      <c r="B197" s="345"/>
      <c r="C197" s="276" t="s">
        <v>306</v>
      </c>
      <c r="D197" s="286"/>
      <c r="E197" s="73">
        <v>151</v>
      </c>
      <c r="F197" s="22"/>
      <c r="G197" s="140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</row>
    <row r="198" spans="1:18" s="44" customFormat="1" ht="15.75" customHeight="1">
      <c r="A198" s="341">
        <v>75</v>
      </c>
      <c r="B198" s="345" t="s">
        <v>234</v>
      </c>
      <c r="C198" s="283" t="s">
        <v>235</v>
      </c>
      <c r="D198" s="284" t="s">
        <v>308</v>
      </c>
      <c r="E198" s="10">
        <v>366.2</v>
      </c>
      <c r="F198" s="22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</row>
    <row r="199" spans="1:18" s="44" customFormat="1" ht="15" customHeight="1">
      <c r="A199" s="342"/>
      <c r="B199" s="345"/>
      <c r="C199" s="276" t="s">
        <v>306</v>
      </c>
      <c r="D199" s="286"/>
      <c r="E199" s="73">
        <v>366.2</v>
      </c>
      <c r="F199" s="22"/>
      <c r="G199" s="140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</row>
    <row r="200" spans="1:18" s="44" customFormat="1" ht="28.5" customHeight="1">
      <c r="A200" s="341">
        <v>76</v>
      </c>
      <c r="B200" s="345" t="s">
        <v>236</v>
      </c>
      <c r="C200" s="283" t="s">
        <v>237</v>
      </c>
      <c r="D200" s="284" t="s">
        <v>308</v>
      </c>
      <c r="E200" s="10">
        <v>1233.7</v>
      </c>
      <c r="F200" s="22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</row>
    <row r="201" spans="1:18" s="44" customFormat="1" ht="15" customHeight="1">
      <c r="A201" s="342"/>
      <c r="B201" s="345"/>
      <c r="C201" s="276" t="s">
        <v>306</v>
      </c>
      <c r="D201" s="286"/>
      <c r="E201" s="11">
        <v>1233.7</v>
      </c>
      <c r="F201" s="22"/>
      <c r="G201" s="140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</row>
    <row r="202" spans="1:18" s="44" customFormat="1" ht="25.5" customHeight="1">
      <c r="A202" s="341">
        <v>77</v>
      </c>
      <c r="B202" s="345" t="s">
        <v>238</v>
      </c>
      <c r="C202" s="256" t="s">
        <v>239</v>
      </c>
      <c r="D202" s="257" t="s">
        <v>308</v>
      </c>
      <c r="E202" s="10">
        <v>1323.3</v>
      </c>
      <c r="F202" s="22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</row>
    <row r="203" spans="1:18" s="44" customFormat="1" ht="15" customHeight="1">
      <c r="A203" s="342"/>
      <c r="B203" s="345"/>
      <c r="C203" s="258" t="s">
        <v>306</v>
      </c>
      <c r="D203" s="259"/>
      <c r="E203" s="73">
        <v>1323.3</v>
      </c>
      <c r="F203" s="22"/>
      <c r="G203" s="140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</row>
    <row r="204" spans="1:18" s="44" customFormat="1" ht="28.5" customHeight="1">
      <c r="A204" s="341">
        <v>78</v>
      </c>
      <c r="B204" s="334">
        <v>20708010507</v>
      </c>
      <c r="C204" s="256" t="s">
        <v>241</v>
      </c>
      <c r="D204" s="257" t="s">
        <v>308</v>
      </c>
      <c r="E204" s="10">
        <v>1193.9000000000001</v>
      </c>
      <c r="F204" s="22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</row>
    <row r="205" spans="1:18" s="44" customFormat="1" ht="15" customHeight="1">
      <c r="A205" s="342"/>
      <c r="B205" s="335"/>
      <c r="C205" s="258" t="s">
        <v>306</v>
      </c>
      <c r="D205" s="259"/>
      <c r="E205" s="11">
        <v>1193.9000000000001</v>
      </c>
      <c r="F205" s="22"/>
      <c r="G205" s="140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</row>
    <row r="206" spans="1:18" s="44" customFormat="1" ht="28.5" customHeight="1">
      <c r="A206" s="341">
        <v>79</v>
      </c>
      <c r="B206" s="334">
        <v>20708010508</v>
      </c>
      <c r="C206" s="224" t="s">
        <v>242</v>
      </c>
      <c r="D206" s="257" t="s">
        <v>308</v>
      </c>
      <c r="E206" s="10">
        <v>1280.5</v>
      </c>
      <c r="F206" s="22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</row>
    <row r="207" spans="1:18" s="44" customFormat="1" ht="15" customHeight="1">
      <c r="A207" s="342"/>
      <c r="B207" s="335"/>
      <c r="C207" s="258" t="s">
        <v>306</v>
      </c>
      <c r="D207" s="260"/>
      <c r="E207" s="73">
        <v>1280.5</v>
      </c>
      <c r="F207" s="22"/>
      <c r="G207" s="140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</row>
    <row r="208" spans="1:18" s="44" customFormat="1" ht="33" customHeight="1">
      <c r="A208" s="341">
        <v>80</v>
      </c>
      <c r="B208" s="334">
        <v>20708010509</v>
      </c>
      <c r="C208" s="224" t="s">
        <v>243</v>
      </c>
      <c r="D208" s="257" t="s">
        <v>308</v>
      </c>
      <c r="E208" s="10">
        <v>903.5</v>
      </c>
      <c r="F208" s="22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</row>
    <row r="209" spans="1:18" s="44" customFormat="1" ht="15" customHeight="1">
      <c r="A209" s="342"/>
      <c r="B209" s="335"/>
      <c r="C209" s="258" t="s">
        <v>306</v>
      </c>
      <c r="D209" s="260"/>
      <c r="E209" s="73">
        <v>903.5</v>
      </c>
      <c r="F209" s="22"/>
      <c r="G209" s="140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</row>
    <row r="210" spans="1:18" s="44" customFormat="1" ht="27.75" customHeight="1">
      <c r="A210" s="341">
        <v>81</v>
      </c>
      <c r="B210" s="334">
        <v>20708010510</v>
      </c>
      <c r="C210" s="256" t="s">
        <v>245</v>
      </c>
      <c r="D210" s="257" t="s">
        <v>308</v>
      </c>
      <c r="E210" s="10">
        <v>1109.5</v>
      </c>
      <c r="F210" s="22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</row>
    <row r="211" spans="1:18" s="44" customFormat="1" ht="15" customHeight="1">
      <c r="A211" s="342"/>
      <c r="B211" s="335"/>
      <c r="C211" s="258" t="s">
        <v>306</v>
      </c>
      <c r="D211" s="259"/>
      <c r="E211" s="11">
        <v>1109.5</v>
      </c>
      <c r="F211" s="22"/>
      <c r="G211" s="140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</row>
    <row r="212" spans="1:18" s="44" customFormat="1" ht="39.75" customHeight="1">
      <c r="A212" s="341">
        <v>82</v>
      </c>
      <c r="B212" s="334" t="s">
        <v>310</v>
      </c>
      <c r="C212" s="256" t="s">
        <v>246</v>
      </c>
      <c r="D212" s="257" t="s">
        <v>308</v>
      </c>
      <c r="E212" s="10">
        <v>649.29999999999995</v>
      </c>
      <c r="F212" s="22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</row>
    <row r="213" spans="1:18" s="44" customFormat="1" ht="15" customHeight="1">
      <c r="A213" s="342"/>
      <c r="B213" s="335"/>
      <c r="C213" s="258" t="s">
        <v>306</v>
      </c>
      <c r="D213" s="259"/>
      <c r="E213" s="11">
        <v>649.29999999999995</v>
      </c>
      <c r="F213" s="22"/>
      <c r="G213" s="140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</row>
    <row r="214" spans="1:18" s="44" customFormat="1" ht="40.5" customHeight="1">
      <c r="A214" s="341">
        <v>83</v>
      </c>
      <c r="B214" s="334">
        <v>20708010512</v>
      </c>
      <c r="C214" s="224" t="s">
        <v>247</v>
      </c>
      <c r="D214" s="257" t="s">
        <v>308</v>
      </c>
      <c r="E214" s="11">
        <v>700</v>
      </c>
      <c r="F214" s="22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</row>
    <row r="215" spans="1:18" s="44" customFormat="1" ht="15" customHeight="1">
      <c r="A215" s="342"/>
      <c r="B215" s="335"/>
      <c r="C215" s="258" t="s">
        <v>306</v>
      </c>
      <c r="D215" s="260"/>
      <c r="E215" s="11">
        <v>700</v>
      </c>
      <c r="F215" s="22"/>
      <c r="G215" s="140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</row>
    <row r="216" spans="1:18" s="44" customFormat="1" ht="27.75" customHeight="1">
      <c r="A216" s="341">
        <v>72</v>
      </c>
      <c r="B216" s="345" t="s">
        <v>248</v>
      </c>
      <c r="C216" s="256" t="s">
        <v>249</v>
      </c>
      <c r="D216" s="257" t="s">
        <v>308</v>
      </c>
      <c r="E216" s="10">
        <v>7498.6</v>
      </c>
      <c r="F216" s="22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</row>
    <row r="217" spans="1:18" s="44" customFormat="1" ht="15.75" customHeight="1">
      <c r="A217" s="342"/>
      <c r="B217" s="345"/>
      <c r="C217" s="346" t="s">
        <v>294</v>
      </c>
      <c r="D217" s="347"/>
      <c r="E217" s="11">
        <v>7498.6</v>
      </c>
      <c r="F217" s="22"/>
      <c r="G217" s="140"/>
      <c r="H217" s="56"/>
      <c r="I217" s="56"/>
      <c r="J217" s="56"/>
      <c r="K217" s="56"/>
      <c r="L217" s="56"/>
      <c r="M217" s="148"/>
      <c r="N217" s="148"/>
      <c r="O217" s="148"/>
      <c r="P217" s="148"/>
      <c r="Q217" s="148"/>
      <c r="R217" s="148"/>
    </row>
    <row r="218" spans="1:18" s="44" customFormat="1" ht="39.75" customHeight="1">
      <c r="A218" s="341">
        <v>84</v>
      </c>
      <c r="B218" s="345" t="s">
        <v>250</v>
      </c>
      <c r="C218" s="224" t="s">
        <v>251</v>
      </c>
      <c r="D218" s="257" t="s">
        <v>308</v>
      </c>
      <c r="E218" s="10">
        <v>4765</v>
      </c>
      <c r="F218" s="22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</row>
    <row r="219" spans="1:18" s="44" customFormat="1" ht="15.75" customHeight="1">
      <c r="A219" s="342"/>
      <c r="B219" s="345"/>
      <c r="C219" s="258" t="s">
        <v>306</v>
      </c>
      <c r="D219" s="261"/>
      <c r="E219" s="11">
        <v>4765</v>
      </c>
      <c r="F219" s="22"/>
      <c r="G219" s="140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</row>
    <row r="220" spans="1:18" s="44" customFormat="1" ht="26.4">
      <c r="A220" s="333">
        <v>85</v>
      </c>
      <c r="B220" s="334" t="s">
        <v>252</v>
      </c>
      <c r="C220" s="224" t="s">
        <v>253</v>
      </c>
      <c r="D220" s="257" t="s">
        <v>308</v>
      </c>
      <c r="E220" s="10">
        <v>2300</v>
      </c>
      <c r="F220" s="22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</row>
    <row r="221" spans="1:18" s="44" customFormat="1" ht="15" customHeight="1">
      <c r="A221" s="333"/>
      <c r="B221" s="335"/>
      <c r="C221" s="258" t="s">
        <v>285</v>
      </c>
      <c r="D221" s="259"/>
      <c r="E221" s="73">
        <v>2300</v>
      </c>
      <c r="F221" s="22"/>
      <c r="G221" s="140"/>
      <c r="H221" s="45"/>
      <c r="I221" s="45"/>
      <c r="J221" s="45"/>
      <c r="K221" s="45"/>
      <c r="L221" s="45"/>
      <c r="M221" s="45"/>
      <c r="N221" s="45"/>
      <c r="O221" s="45"/>
      <c r="P221" s="56"/>
      <c r="Q221" s="56"/>
      <c r="R221" s="56"/>
    </row>
    <row r="222" spans="1:18" s="44" customFormat="1" ht="44.25" customHeight="1">
      <c r="A222" s="333">
        <v>86</v>
      </c>
      <c r="B222" s="334" t="s">
        <v>254</v>
      </c>
      <c r="C222" s="224" t="s">
        <v>255</v>
      </c>
      <c r="D222" s="257" t="s">
        <v>308</v>
      </c>
      <c r="E222" s="10">
        <v>1500</v>
      </c>
      <c r="F222" s="22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</row>
    <row r="223" spans="1:18" s="44" customFormat="1" ht="15" customHeight="1">
      <c r="A223" s="333"/>
      <c r="B223" s="335"/>
      <c r="C223" s="258" t="s">
        <v>285</v>
      </c>
      <c r="D223" s="259"/>
      <c r="E223" s="73">
        <v>1500</v>
      </c>
      <c r="F223" s="22"/>
      <c r="G223" s="140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56"/>
    </row>
    <row r="224" spans="1:18" s="44" customFormat="1" ht="38.25" customHeight="1">
      <c r="A224" s="333">
        <v>87</v>
      </c>
      <c r="B224" s="334" t="s">
        <v>256</v>
      </c>
      <c r="C224" s="224" t="s">
        <v>257</v>
      </c>
      <c r="D224" s="257" t="s">
        <v>308</v>
      </c>
      <c r="E224" s="10">
        <v>136</v>
      </c>
      <c r="F224" s="22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s="44" customFormat="1" ht="15" customHeight="1">
      <c r="A225" s="333"/>
      <c r="B225" s="335"/>
      <c r="C225" s="258" t="s">
        <v>285</v>
      </c>
      <c r="D225" s="259"/>
      <c r="E225" s="73">
        <v>136</v>
      </c>
      <c r="F225" s="22"/>
      <c r="G225" s="140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56"/>
    </row>
    <row r="226" spans="1:18" s="44" customFormat="1" ht="28.5" customHeight="1">
      <c r="A226" s="333">
        <v>88</v>
      </c>
      <c r="B226" s="334" t="s">
        <v>258</v>
      </c>
      <c r="C226" s="224" t="s">
        <v>259</v>
      </c>
      <c r="D226" s="257" t="s">
        <v>308</v>
      </c>
      <c r="E226" s="10">
        <v>300</v>
      </c>
      <c r="F226" s="22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</row>
    <row r="227" spans="1:18" s="44" customFormat="1" ht="15" customHeight="1">
      <c r="A227" s="333"/>
      <c r="B227" s="335"/>
      <c r="C227" s="258" t="s">
        <v>285</v>
      </c>
      <c r="D227" s="259"/>
      <c r="E227" s="73">
        <v>300</v>
      </c>
      <c r="F227" s="22"/>
      <c r="G227" s="140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56"/>
    </row>
    <row r="228" spans="1:18">
      <c r="A228" s="306" t="s">
        <v>311</v>
      </c>
      <c r="B228" s="307"/>
      <c r="C228" s="308"/>
      <c r="D228" s="71" t="s">
        <v>308</v>
      </c>
      <c r="E228" s="12">
        <f>SUMIF(D180:D227,"=07",E180:E227)</f>
        <v>29746.799999999999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</row>
    <row r="229" spans="1:18" ht="12.75" customHeight="1">
      <c r="A229" s="306" t="s">
        <v>261</v>
      </c>
      <c r="B229" s="307"/>
      <c r="C229" s="307"/>
      <c r="D229" s="308"/>
      <c r="E229" s="12">
        <f>SUM(E87+E94+E125+E142+E179+E228)</f>
        <v>146833.71</v>
      </c>
      <c r="F229" s="35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</row>
    <row r="233" spans="1:18">
      <c r="E233" s="17"/>
      <c r="F233" s="59"/>
      <c r="G233" s="60"/>
      <c r="H233" s="60"/>
      <c r="I233" s="60"/>
      <c r="J233" s="60"/>
    </row>
  </sheetData>
  <mergeCells count="293">
    <mergeCell ref="A155:A156"/>
    <mergeCell ref="B155:B156"/>
    <mergeCell ref="A153:A154"/>
    <mergeCell ref="B153:B154"/>
    <mergeCell ref="B140:B141"/>
    <mergeCell ref="A123:A124"/>
    <mergeCell ref="C131:D131"/>
    <mergeCell ref="A142:C142"/>
    <mergeCell ref="A134:A135"/>
    <mergeCell ref="C133:D133"/>
    <mergeCell ref="A130:A131"/>
    <mergeCell ref="C137:D137"/>
    <mergeCell ref="A136:A137"/>
    <mergeCell ref="B136:B137"/>
    <mergeCell ref="B134:B135"/>
    <mergeCell ref="C135:D135"/>
    <mergeCell ref="B130:B131"/>
    <mergeCell ref="A132:A133"/>
    <mergeCell ref="B132:B133"/>
    <mergeCell ref="C120:D120"/>
    <mergeCell ref="A121:A122"/>
    <mergeCell ref="B121:B122"/>
    <mergeCell ref="C122:D122"/>
    <mergeCell ref="A128:A129"/>
    <mergeCell ref="B128:B129"/>
    <mergeCell ref="A126:A127"/>
    <mergeCell ref="C124:D124"/>
    <mergeCell ref="A105:A106"/>
    <mergeCell ref="B105:B106"/>
    <mergeCell ref="A115:A116"/>
    <mergeCell ref="A125:C125"/>
    <mergeCell ref="A117:A118"/>
    <mergeCell ref="B115:B116"/>
    <mergeCell ref="B126:B127"/>
    <mergeCell ref="C129:D129"/>
    <mergeCell ref="B107:B108"/>
    <mergeCell ref="A113:A114"/>
    <mergeCell ref="C127:D127"/>
    <mergeCell ref="A119:A120"/>
    <mergeCell ref="B119:B120"/>
    <mergeCell ref="C118:D118"/>
    <mergeCell ref="C116:D116"/>
    <mergeCell ref="B117:B118"/>
    <mergeCell ref="B113:B114"/>
    <mergeCell ref="A109:A110"/>
    <mergeCell ref="B109:B110"/>
    <mergeCell ref="C110:D110"/>
    <mergeCell ref="A107:A108"/>
    <mergeCell ref="A111:A112"/>
    <mergeCell ref="B111:B112"/>
    <mergeCell ref="C114:D114"/>
    <mergeCell ref="C112:D112"/>
    <mergeCell ref="C108:D108"/>
    <mergeCell ref="B224:B225"/>
    <mergeCell ref="B180:B181"/>
    <mergeCell ref="B147:B148"/>
    <mergeCell ref="A149:A150"/>
    <mergeCell ref="B149:B150"/>
    <mergeCell ref="A159:A160"/>
    <mergeCell ref="A147:A148"/>
    <mergeCell ref="B159:B160"/>
    <mergeCell ref="B157:B158"/>
    <mergeCell ref="B161:B162"/>
    <mergeCell ref="B177:B178"/>
    <mergeCell ref="A151:A152"/>
    <mergeCell ref="B151:B152"/>
    <mergeCell ref="A163:A164"/>
    <mergeCell ref="B163:B164"/>
    <mergeCell ref="A212:A213"/>
    <mergeCell ref="B212:B213"/>
    <mergeCell ref="A222:A223"/>
    <mergeCell ref="B214:B215"/>
    <mergeCell ref="A218:A219"/>
    <mergeCell ref="B218:B219"/>
    <mergeCell ref="A194:A195"/>
    <mergeCell ref="B194:B195"/>
    <mergeCell ref="B210:B211"/>
    <mergeCell ref="A226:A227"/>
    <mergeCell ref="B226:B227"/>
    <mergeCell ref="B200:B201"/>
    <mergeCell ref="B186:B187"/>
    <mergeCell ref="A169:A170"/>
    <mergeCell ref="A184:A185"/>
    <mergeCell ref="B184:B185"/>
    <mergeCell ref="A186:A187"/>
    <mergeCell ref="B192:B193"/>
    <mergeCell ref="B222:B223"/>
    <mergeCell ref="A224:A225"/>
    <mergeCell ref="A204:A205"/>
    <mergeCell ref="B204:B205"/>
    <mergeCell ref="A206:A207"/>
    <mergeCell ref="B206:B207"/>
    <mergeCell ref="A208:A209"/>
    <mergeCell ref="B208:B209"/>
    <mergeCell ref="A210:A211"/>
    <mergeCell ref="B169:B170"/>
    <mergeCell ref="A173:A174"/>
    <mergeCell ref="B173:B174"/>
    <mergeCell ref="A177:A178"/>
    <mergeCell ref="B188:B189"/>
    <mergeCell ref="A180:A181"/>
    <mergeCell ref="A196:A197"/>
    <mergeCell ref="C139:D139"/>
    <mergeCell ref="C141:D141"/>
    <mergeCell ref="A165:A166"/>
    <mergeCell ref="B165:B166"/>
    <mergeCell ref="A161:A162"/>
    <mergeCell ref="A202:A203"/>
    <mergeCell ref="B202:B203"/>
    <mergeCell ref="A216:A217"/>
    <mergeCell ref="B216:B217"/>
    <mergeCell ref="A198:A199"/>
    <mergeCell ref="B198:B199"/>
    <mergeCell ref="A200:A201"/>
    <mergeCell ref="A167:A168"/>
    <mergeCell ref="B167:B168"/>
    <mergeCell ref="B145:B146"/>
    <mergeCell ref="A138:A139"/>
    <mergeCell ref="B138:B139"/>
    <mergeCell ref="A140:A141"/>
    <mergeCell ref="A214:A215"/>
    <mergeCell ref="A145:A146"/>
    <mergeCell ref="A143:A144"/>
    <mergeCell ref="A157:A158"/>
    <mergeCell ref="B143:B144"/>
    <mergeCell ref="A7:R7"/>
    <mergeCell ref="A9:A10"/>
    <mergeCell ref="B9:B10"/>
    <mergeCell ref="C9:C10"/>
    <mergeCell ref="D9:D10"/>
    <mergeCell ref="E9:E10"/>
    <mergeCell ref="F9:F10"/>
    <mergeCell ref="G9:R9"/>
    <mergeCell ref="C72:D72"/>
    <mergeCell ref="A51:A52"/>
    <mergeCell ref="B53:B54"/>
    <mergeCell ref="A55:A56"/>
    <mergeCell ref="A61:A62"/>
    <mergeCell ref="C62:D62"/>
    <mergeCell ref="C52:D52"/>
    <mergeCell ref="A57:A58"/>
    <mergeCell ref="C58:D58"/>
    <mergeCell ref="B57:B58"/>
    <mergeCell ref="B65:B66"/>
    <mergeCell ref="C66:D66"/>
    <mergeCell ref="C68:D68"/>
    <mergeCell ref="A71:A72"/>
    <mergeCell ref="B71:B72"/>
    <mergeCell ref="B61:B62"/>
    <mergeCell ref="C12:D12"/>
    <mergeCell ref="A35:A36"/>
    <mergeCell ref="A37:A38"/>
    <mergeCell ref="B37:B38"/>
    <mergeCell ref="B45:B46"/>
    <mergeCell ref="A33:A34"/>
    <mergeCell ref="B33:B34"/>
    <mergeCell ref="A41:A42"/>
    <mergeCell ref="A31:A32"/>
    <mergeCell ref="A29:A30"/>
    <mergeCell ref="B29:B30"/>
    <mergeCell ref="A11:A12"/>
    <mergeCell ref="B11:B12"/>
    <mergeCell ref="B31:B32"/>
    <mergeCell ref="A27:A28"/>
    <mergeCell ref="B27:B28"/>
    <mergeCell ref="A17:A18"/>
    <mergeCell ref="B17:B18"/>
    <mergeCell ref="B41:B42"/>
    <mergeCell ref="A45:A46"/>
    <mergeCell ref="A43:A44"/>
    <mergeCell ref="B43:B44"/>
    <mergeCell ref="A15:A16"/>
    <mergeCell ref="B15:B16"/>
    <mergeCell ref="A13:A14"/>
    <mergeCell ref="B13:B14"/>
    <mergeCell ref="B39:B40"/>
    <mergeCell ref="C14:D14"/>
    <mergeCell ref="B25:B26"/>
    <mergeCell ref="A21:A22"/>
    <mergeCell ref="C38:D38"/>
    <mergeCell ref="A39:A40"/>
    <mergeCell ref="C16:D16"/>
    <mergeCell ref="C36:D36"/>
    <mergeCell ref="C34:D34"/>
    <mergeCell ref="C40:D40"/>
    <mergeCell ref="B35:B36"/>
    <mergeCell ref="A25:A26"/>
    <mergeCell ref="C32:D32"/>
    <mergeCell ref="A23:A24"/>
    <mergeCell ref="C28:D28"/>
    <mergeCell ref="C30:D30"/>
    <mergeCell ref="C24:D24"/>
    <mergeCell ref="C26:D26"/>
    <mergeCell ref="C18:D18"/>
    <mergeCell ref="B23:B24"/>
    <mergeCell ref="B19:B20"/>
    <mergeCell ref="C20:D20"/>
    <mergeCell ref="B51:B52"/>
    <mergeCell ref="A53:A54"/>
    <mergeCell ref="C44:D44"/>
    <mergeCell ref="A19:A20"/>
    <mergeCell ref="A49:A50"/>
    <mergeCell ref="B49:B50"/>
    <mergeCell ref="C50:D50"/>
    <mergeCell ref="C42:D42"/>
    <mergeCell ref="B21:B22"/>
    <mergeCell ref="C22:D22"/>
    <mergeCell ref="C46:D46"/>
    <mergeCell ref="A47:A48"/>
    <mergeCell ref="B47:B48"/>
    <mergeCell ref="C56:D56"/>
    <mergeCell ref="C48:D48"/>
    <mergeCell ref="B123:B124"/>
    <mergeCell ref="A95:A96"/>
    <mergeCell ref="B95:B96"/>
    <mergeCell ref="C104:D104"/>
    <mergeCell ref="C102:D102"/>
    <mergeCell ref="B97:B98"/>
    <mergeCell ref="C91:D91"/>
    <mergeCell ref="A87:C87"/>
    <mergeCell ref="A79:A80"/>
    <mergeCell ref="B79:B80"/>
    <mergeCell ref="C80:D80"/>
    <mergeCell ref="C76:D76"/>
    <mergeCell ref="B75:B76"/>
    <mergeCell ref="A77:A78"/>
    <mergeCell ref="B77:B78"/>
    <mergeCell ref="C78:D78"/>
    <mergeCell ref="A81:A82"/>
    <mergeCell ref="B81:B82"/>
    <mergeCell ref="C106:D106"/>
    <mergeCell ref="C64:D64"/>
    <mergeCell ref="C54:D54"/>
    <mergeCell ref="B55:B56"/>
    <mergeCell ref="A63:A64"/>
    <mergeCell ref="B63:B64"/>
    <mergeCell ref="B59:B60"/>
    <mergeCell ref="C60:D60"/>
    <mergeCell ref="C70:D70"/>
    <mergeCell ref="A67:A68"/>
    <mergeCell ref="A69:A70"/>
    <mergeCell ref="B67:B68"/>
    <mergeCell ref="A65:A66"/>
    <mergeCell ref="B69:B70"/>
    <mergeCell ref="A59:A60"/>
    <mergeCell ref="B90:B91"/>
    <mergeCell ref="C74:D74"/>
    <mergeCell ref="A73:A74"/>
    <mergeCell ref="B73:B74"/>
    <mergeCell ref="A75:A76"/>
    <mergeCell ref="C98:D98"/>
    <mergeCell ref="A229:D229"/>
    <mergeCell ref="A228:C228"/>
    <mergeCell ref="A171:A172"/>
    <mergeCell ref="B171:B172"/>
    <mergeCell ref="C178:D178"/>
    <mergeCell ref="A179:C179"/>
    <mergeCell ref="A188:A189"/>
    <mergeCell ref="A192:A193"/>
    <mergeCell ref="B182:B183"/>
    <mergeCell ref="A182:A183"/>
    <mergeCell ref="A190:A191"/>
    <mergeCell ref="B190:B191"/>
    <mergeCell ref="A220:A221"/>
    <mergeCell ref="B220:B221"/>
    <mergeCell ref="B196:B197"/>
    <mergeCell ref="A175:A176"/>
    <mergeCell ref="B175:B176"/>
    <mergeCell ref="C217:D217"/>
    <mergeCell ref="C82:D82"/>
    <mergeCell ref="A83:A84"/>
    <mergeCell ref="A88:A89"/>
    <mergeCell ref="A94:C94"/>
    <mergeCell ref="B88:B89"/>
    <mergeCell ref="C89:D89"/>
    <mergeCell ref="A103:A104"/>
    <mergeCell ref="B103:B104"/>
    <mergeCell ref="A101:A102"/>
    <mergeCell ref="B101:B102"/>
    <mergeCell ref="B99:B100"/>
    <mergeCell ref="A99:A100"/>
    <mergeCell ref="C93:D93"/>
    <mergeCell ref="A92:A93"/>
    <mergeCell ref="B92:B93"/>
    <mergeCell ref="A97:A98"/>
    <mergeCell ref="C100:D100"/>
    <mergeCell ref="C96:D96"/>
    <mergeCell ref="B83:B84"/>
    <mergeCell ref="C84:D84"/>
    <mergeCell ref="A85:A86"/>
    <mergeCell ref="B85:B86"/>
    <mergeCell ref="C86:D86"/>
    <mergeCell ref="A90:A91"/>
  </mergeCells>
  <pageMargins left="0.25" right="0.25" top="0.75" bottom="0.75" header="0.3" footer="0.3"/>
  <pageSetup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EC2CC9-F1DC-4BC1-A18A-33CDE74EA3C1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DF3F9BDD-F398-4A5A-9D74-AC77DE02B8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7C148-0D2E-4F84-B6A6-95E6A665D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</vt:i4>
      </vt:variant>
    </vt:vector>
  </HeadingPairs>
  <TitlesOfParts>
    <vt:vector size="5" baseType="lpstr">
      <vt:lpstr>VMIP2026 1 pr.</vt:lpstr>
      <vt:lpstr>2 pr.</vt:lpstr>
      <vt:lpstr>'VMIP2026 1 pr.'!Print_Area</vt:lpstr>
      <vt:lpstr>'2 pr.'!Print_Titles</vt:lpstr>
      <vt:lpstr>'VMIP2026 1 pr.'!Print_Titles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Aušra Katinienė</cp:lastModifiedBy>
  <cp:revision/>
  <dcterms:created xsi:type="dcterms:W3CDTF">1996-10-14T23:33:28Z</dcterms:created>
  <dcterms:modified xsi:type="dcterms:W3CDTF">2026-03-04T13:10:19Z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